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GAL\Documents\Cottages on Osoyoos Lake, The\2021 AGM\Financials\"/>
    </mc:Choice>
  </mc:AlternateContent>
  <xr:revisionPtr revIDLastSave="0" documentId="13_ncr:1_{1CE9112F-309E-482D-BA15-4021FEFD2F12}" xr6:coauthVersionLast="47" xr6:coauthVersionMax="47" xr10:uidLastSave="{00000000-0000-0000-0000-000000000000}"/>
  <bookViews>
    <workbookView xWindow="-98" yWindow="-98" windowWidth="21795" windowHeight="13096" activeTab="1" xr2:uid="{5A429818-DECF-49F2-A583-DD886613517C}"/>
  </bookViews>
  <sheets>
    <sheet name="Notes" sheetId="3" r:id="rId1"/>
    <sheet name="Budget" sheetId="1" r:id="rId2"/>
    <sheet name="CRF" sheetId="5" r:id="rId3"/>
    <sheet name="SFP" sheetId="4" r:id="rId4"/>
    <sheet name="Fixed Assets" sheetId="6" r:id="rId5"/>
    <sheet name="Unit Completion"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6" i="1" l="1"/>
  <c r="P248" i="1"/>
  <c r="C43" i="5"/>
  <c r="C42" i="5"/>
  <c r="C41" i="5"/>
  <c r="J318" i="1"/>
  <c r="J319" i="1"/>
  <c r="P310" i="1"/>
  <c r="P311" i="1" s="1"/>
  <c r="J311" i="1"/>
  <c r="H280" i="1"/>
  <c r="H14" i="1"/>
  <c r="H18" i="1"/>
  <c r="H23" i="1"/>
  <c r="H25" i="1"/>
  <c r="H31" i="1"/>
  <c r="H32" i="1"/>
  <c r="H39" i="1"/>
  <c r="H45" i="1"/>
  <c r="H46" i="1"/>
  <c r="H47" i="1"/>
  <c r="H48" i="1"/>
  <c r="H52" i="1"/>
  <c r="H56" i="1"/>
  <c r="H57" i="1"/>
  <c r="H58" i="1"/>
  <c r="H62" i="1"/>
  <c r="H63" i="1"/>
  <c r="H64" i="1"/>
  <c r="H68" i="1"/>
  <c r="H72" i="1"/>
  <c r="H73" i="1"/>
  <c r="H74" i="1"/>
  <c r="H80" i="1"/>
  <c r="H81" i="1"/>
  <c r="H82" i="1"/>
  <c r="H83" i="1"/>
  <c r="H84" i="1"/>
  <c r="H85" i="1"/>
  <c r="H86" i="1"/>
  <c r="H87" i="1"/>
  <c r="H88" i="1"/>
  <c r="H89" i="1"/>
  <c r="H90" i="1"/>
  <c r="H91" i="1"/>
  <c r="H92" i="1"/>
  <c r="H93" i="1"/>
  <c r="H99" i="1"/>
  <c r="H103" i="1"/>
  <c r="H104" i="1"/>
  <c r="H105" i="1"/>
  <c r="H109" i="1"/>
  <c r="H113" i="1"/>
  <c r="H114" i="1"/>
  <c r="H115" i="1"/>
  <c r="H116" i="1"/>
  <c r="H117" i="1"/>
  <c r="H118" i="1"/>
  <c r="H119" i="1"/>
  <c r="H120" i="1"/>
  <c r="H121" i="1"/>
  <c r="H122" i="1"/>
  <c r="H123" i="1"/>
  <c r="H124" i="1"/>
  <c r="H125" i="1"/>
  <c r="H126" i="1"/>
  <c r="H127" i="1"/>
  <c r="H128" i="1"/>
  <c r="H129" i="1"/>
  <c r="H130" i="1"/>
  <c r="H131" i="1"/>
  <c r="H132" i="1"/>
  <c r="H133" i="1"/>
  <c r="H140" i="1"/>
  <c r="H141" i="1"/>
  <c r="H142" i="1"/>
  <c r="H143" i="1"/>
  <c r="H147" i="1"/>
  <c r="H150" i="1"/>
  <c r="H151" i="1"/>
  <c r="H152" i="1"/>
  <c r="H153" i="1"/>
  <c r="H154" i="1"/>
  <c r="H155" i="1"/>
  <c r="H159" i="1"/>
  <c r="H160" i="1"/>
  <c r="H164" i="1"/>
  <c r="H165" i="1"/>
  <c r="H169" i="1"/>
  <c r="H173" i="1"/>
  <c r="H174" i="1"/>
  <c r="H175" i="1"/>
  <c r="H176" i="1"/>
  <c r="H177" i="1"/>
  <c r="H181" i="1"/>
  <c r="H182" i="1"/>
  <c r="H183" i="1"/>
  <c r="H184" i="1"/>
  <c r="H185" i="1"/>
  <c r="H187" i="1"/>
  <c r="H193" i="1"/>
  <c r="H197" i="1"/>
  <c r="H204" i="1"/>
  <c r="H210" i="1"/>
  <c r="H211" i="1"/>
  <c r="H212" i="1"/>
  <c r="H213" i="1"/>
  <c r="H214" i="1"/>
  <c r="H215" i="1"/>
  <c r="H216" i="1"/>
  <c r="H217" i="1"/>
  <c r="H218" i="1"/>
  <c r="H222" i="1"/>
  <c r="H226" i="1"/>
  <c r="H230" i="1"/>
  <c r="H231" i="1"/>
  <c r="H234" i="1"/>
  <c r="H240" i="1"/>
  <c r="H242" i="1"/>
  <c r="H244" i="1"/>
  <c r="H257" i="1"/>
  <c r="H262" i="1"/>
  <c r="H269" i="1"/>
  <c r="H276" i="1"/>
  <c r="H279" i="1"/>
  <c r="H281" i="1"/>
  <c r="H282" i="1"/>
  <c r="H283" i="1"/>
  <c r="H284" i="1"/>
  <c r="H285" i="1"/>
  <c r="H286" i="1"/>
  <c r="H287" i="1"/>
  <c r="H290" i="1"/>
  <c r="H291" i="1"/>
  <c r="H326" i="1"/>
  <c r="H365" i="1"/>
  <c r="H370" i="1"/>
  <c r="H452" i="1"/>
  <c r="H5" i="1"/>
  <c r="H6" i="1"/>
  <c r="H7" i="1"/>
  <c r="H8" i="1"/>
  <c r="H9" i="1"/>
  <c r="H10" i="1"/>
  <c r="E21" i="6"/>
  <c r="D21" i="6" l="1"/>
  <c r="E17" i="6"/>
  <c r="D6" i="6" s="1"/>
  <c r="E8" i="6"/>
  <c r="C33" i="5"/>
  <c r="C32" i="5"/>
  <c r="C31" i="5"/>
  <c r="C24" i="5"/>
  <c r="C23" i="5"/>
  <c r="C22" i="5"/>
  <c r="C12" i="5"/>
  <c r="C13" i="5" s="1"/>
  <c r="E134" i="1"/>
  <c r="H134" i="1" s="1"/>
  <c r="D12" i="5"/>
  <c r="D13" i="5" s="1"/>
  <c r="E13" i="5"/>
  <c r="E40" i="5"/>
  <c r="E38" i="4"/>
  <c r="E43" i="4" s="1"/>
  <c r="E25" i="4"/>
  <c r="E27" i="4" s="1"/>
  <c r="E29" i="4" s="1"/>
  <c r="E16" i="4"/>
  <c r="P31" i="1"/>
  <c r="P19" i="1"/>
  <c r="P374" i="1" s="1"/>
  <c r="P443" i="1"/>
  <c r="P442" i="1"/>
  <c r="P441" i="1"/>
  <c r="P428" i="1"/>
  <c r="P423" i="1"/>
  <c r="P407" i="1"/>
  <c r="P378" i="1"/>
  <c r="P14" i="1"/>
  <c r="P15" i="1" s="1"/>
  <c r="P372" i="1" s="1"/>
  <c r="P226" i="1"/>
  <c r="P227" i="1" s="1"/>
  <c r="P388" i="1" s="1"/>
  <c r="I49" i="1"/>
  <c r="I395" i="1" s="1"/>
  <c r="P49" i="1"/>
  <c r="P395" i="1" s="1"/>
  <c r="J348" i="1"/>
  <c r="J349" i="1" s="1"/>
  <c r="I348" i="1"/>
  <c r="I349" i="1" s="1"/>
  <c r="J344" i="1"/>
  <c r="J343" i="1"/>
  <c r="I344" i="1"/>
  <c r="I343" i="1"/>
  <c r="F415" i="1"/>
  <c r="N415" i="1" s="1"/>
  <c r="J451" i="1"/>
  <c r="J453" i="1" s="1"/>
  <c r="I451" i="1"/>
  <c r="I453" i="1" s="1"/>
  <c r="J443" i="1"/>
  <c r="J442" i="1"/>
  <c r="J441" i="1"/>
  <c r="I443" i="1"/>
  <c r="I442" i="1"/>
  <c r="I441" i="1"/>
  <c r="J428" i="1"/>
  <c r="J423" i="1"/>
  <c r="I428" i="1"/>
  <c r="I423" i="1"/>
  <c r="J411" i="1"/>
  <c r="J407" i="1"/>
  <c r="I407" i="1"/>
  <c r="J395" i="1"/>
  <c r="J378" i="1"/>
  <c r="I378" i="1"/>
  <c r="J362" i="1"/>
  <c r="J361" i="1"/>
  <c r="I362" i="1"/>
  <c r="I361" i="1"/>
  <c r="P258" i="1"/>
  <c r="J271" i="1"/>
  <c r="J301" i="1"/>
  <c r="I301" i="1"/>
  <c r="J258" i="1"/>
  <c r="I258" i="1"/>
  <c r="P362" i="1"/>
  <c r="P361" i="1"/>
  <c r="P357" i="1"/>
  <c r="P356" i="1"/>
  <c r="J357" i="1"/>
  <c r="J356" i="1"/>
  <c r="I357" i="1"/>
  <c r="I356" i="1"/>
  <c r="P352" i="1"/>
  <c r="P353" i="1" s="1"/>
  <c r="J352" i="1"/>
  <c r="J353" i="1" s="1"/>
  <c r="I352" i="1"/>
  <c r="I353" i="1" s="1"/>
  <c r="P348" i="1"/>
  <c r="P349" i="1" s="1"/>
  <c r="P344" i="1"/>
  <c r="F288" i="1"/>
  <c r="E443" i="1"/>
  <c r="H443" i="1" s="1"/>
  <c r="C443" i="1"/>
  <c r="E442" i="1"/>
  <c r="H442" i="1" s="1"/>
  <c r="C442" i="1"/>
  <c r="G365" i="1"/>
  <c r="P68" i="1"/>
  <c r="P69" i="1" s="1"/>
  <c r="P397" i="1" s="1"/>
  <c r="K326" i="1"/>
  <c r="L326" i="1" s="1"/>
  <c r="E344" i="1"/>
  <c r="F344" i="1"/>
  <c r="E348" i="1"/>
  <c r="F348" i="1"/>
  <c r="E352" i="1"/>
  <c r="F352" i="1"/>
  <c r="F353" i="1" s="1"/>
  <c r="E356" i="1"/>
  <c r="F356" i="1"/>
  <c r="E357" i="1"/>
  <c r="H357" i="1" s="1"/>
  <c r="F357" i="1"/>
  <c r="E361" i="1"/>
  <c r="F361" i="1"/>
  <c r="E362" i="1"/>
  <c r="F362" i="1"/>
  <c r="E378" i="1"/>
  <c r="F378" i="1"/>
  <c r="F392" i="1"/>
  <c r="F395" i="1"/>
  <c r="F396" i="1"/>
  <c r="F402" i="1"/>
  <c r="F403" i="1" s="1"/>
  <c r="F406" i="1"/>
  <c r="E407" i="1"/>
  <c r="F407" i="1"/>
  <c r="F411" i="1"/>
  <c r="F413" i="1"/>
  <c r="F414" i="1"/>
  <c r="E419" i="1"/>
  <c r="F419" i="1"/>
  <c r="F420" i="1"/>
  <c r="F421" i="1"/>
  <c r="E423" i="1"/>
  <c r="F423" i="1"/>
  <c r="F424" i="1"/>
  <c r="F425" i="1"/>
  <c r="F427" i="1"/>
  <c r="E428" i="1"/>
  <c r="H428" i="1" s="1"/>
  <c r="F428" i="1"/>
  <c r="F432" i="1"/>
  <c r="F433" i="1"/>
  <c r="E441" i="1"/>
  <c r="H441" i="1" s="1"/>
  <c r="F441" i="1"/>
  <c r="F444" i="1" s="1"/>
  <c r="E451" i="1"/>
  <c r="F451" i="1"/>
  <c r="F453" i="1" s="1"/>
  <c r="B453" i="1"/>
  <c r="B444" i="1"/>
  <c r="B441" i="1"/>
  <c r="B438" i="1"/>
  <c r="C437" i="1"/>
  <c r="B437" i="1"/>
  <c r="B434" i="1"/>
  <c r="C433" i="1"/>
  <c r="B433" i="1"/>
  <c r="B432" i="1"/>
  <c r="B415" i="1"/>
  <c r="C415" i="1"/>
  <c r="C414" i="1"/>
  <c r="B414" i="1"/>
  <c r="C413" i="1"/>
  <c r="B413" i="1"/>
  <c r="B412" i="1"/>
  <c r="C411" i="1"/>
  <c r="B411" i="1"/>
  <c r="B416" i="1"/>
  <c r="B407" i="1"/>
  <c r="C406" i="1"/>
  <c r="B406" i="1"/>
  <c r="B408" i="1"/>
  <c r="B402" i="1"/>
  <c r="B403" i="1"/>
  <c r="C398" i="1"/>
  <c r="B398" i="1"/>
  <c r="C397" i="1"/>
  <c r="B397" i="1"/>
  <c r="C396" i="1"/>
  <c r="B396" i="1"/>
  <c r="B395" i="1"/>
  <c r="C394" i="1"/>
  <c r="B394" i="1"/>
  <c r="B393" i="1"/>
  <c r="B392" i="1"/>
  <c r="B399" i="1"/>
  <c r="C388" i="1"/>
  <c r="B388" i="1"/>
  <c r="B387" i="1"/>
  <c r="B389" i="1"/>
  <c r="B384" i="1"/>
  <c r="B383" i="1"/>
  <c r="B380" i="1"/>
  <c r="B379" i="1"/>
  <c r="B378" i="1"/>
  <c r="B363" i="1"/>
  <c r="B358" i="1"/>
  <c r="B353" i="1"/>
  <c r="B349" i="1"/>
  <c r="B345" i="1"/>
  <c r="B375" i="1"/>
  <c r="C374" i="1"/>
  <c r="B374" i="1"/>
  <c r="C373" i="1"/>
  <c r="B373" i="1"/>
  <c r="B372" i="1"/>
  <c r="C362" i="1"/>
  <c r="B362" i="1"/>
  <c r="C352" i="1"/>
  <c r="B352" i="1"/>
  <c r="B348" i="1"/>
  <c r="B344" i="1"/>
  <c r="C428" i="1"/>
  <c r="B428" i="1"/>
  <c r="C427" i="1"/>
  <c r="B427" i="1"/>
  <c r="C426" i="1"/>
  <c r="B426" i="1"/>
  <c r="C425" i="1"/>
  <c r="B425" i="1"/>
  <c r="C424" i="1"/>
  <c r="B424" i="1"/>
  <c r="C423" i="1"/>
  <c r="B423" i="1"/>
  <c r="C422" i="1"/>
  <c r="B422" i="1"/>
  <c r="C421" i="1"/>
  <c r="B421" i="1"/>
  <c r="C420" i="1"/>
  <c r="B420" i="1"/>
  <c r="C419" i="1"/>
  <c r="B419" i="1"/>
  <c r="G132" i="1"/>
  <c r="F11" i="1"/>
  <c r="F373" i="1" s="1"/>
  <c r="K18" i="1"/>
  <c r="L18" i="1"/>
  <c r="J19" i="1"/>
  <c r="J374" i="1" s="1"/>
  <c r="I19" i="1"/>
  <c r="I374" i="1" s="1"/>
  <c r="G18" i="1"/>
  <c r="F19" i="1"/>
  <c r="F374" i="1" s="1"/>
  <c r="E19" i="1"/>
  <c r="F343" i="1"/>
  <c r="E343" i="1"/>
  <c r="E288" i="1"/>
  <c r="P301" i="1"/>
  <c r="P303" i="1" s="1"/>
  <c r="P169" i="1"/>
  <c r="P170" i="1" s="1"/>
  <c r="P426" i="1" s="1"/>
  <c r="P99" i="1"/>
  <c r="P100" i="1" s="1"/>
  <c r="P412" i="1" s="1"/>
  <c r="P75" i="1"/>
  <c r="P396" i="1" s="1"/>
  <c r="P53" i="1"/>
  <c r="P398" i="1" s="1"/>
  <c r="P159" i="1"/>
  <c r="P147" i="1"/>
  <c r="P148" i="1" s="1"/>
  <c r="P422" i="1" s="1"/>
  <c r="P134" i="1"/>
  <c r="P411" i="1" s="1"/>
  <c r="P110" i="1"/>
  <c r="P394" i="1" s="1"/>
  <c r="P106" i="1"/>
  <c r="P413" i="1" s="1"/>
  <c r="P59" i="1"/>
  <c r="P392" i="1" s="1"/>
  <c r="P39" i="1"/>
  <c r="P38" i="1"/>
  <c r="P32" i="1"/>
  <c r="P25" i="1"/>
  <c r="P26" i="1" s="1"/>
  <c r="P28" i="1" s="1"/>
  <c r="P232" i="1"/>
  <c r="P406" i="1" s="1"/>
  <c r="P408" i="1" s="1"/>
  <c r="P223" i="1"/>
  <c r="P393" i="1" s="1"/>
  <c r="P219" i="1"/>
  <c r="P424" i="1" s="1"/>
  <c r="P205" i="1"/>
  <c r="P207" i="1" s="1"/>
  <c r="P437" i="1" s="1"/>
  <c r="P438" i="1" s="1"/>
  <c r="P198" i="1"/>
  <c r="P433" i="1" s="1"/>
  <c r="P194" i="1"/>
  <c r="P432" i="1" s="1"/>
  <c r="P185" i="1"/>
  <c r="P419" i="1" s="1"/>
  <c r="P178" i="1"/>
  <c r="P425" i="1" s="1"/>
  <c r="P166" i="1"/>
  <c r="P415" i="1" s="1"/>
  <c r="P156" i="1"/>
  <c r="P421" i="1" s="1"/>
  <c r="P144" i="1"/>
  <c r="P420" i="1" s="1"/>
  <c r="P94" i="1"/>
  <c r="P96" i="1" s="1"/>
  <c r="P292" i="1"/>
  <c r="I271" i="1"/>
  <c r="K269" i="1"/>
  <c r="L269" i="1" s="1"/>
  <c r="M269" i="1"/>
  <c r="N269" i="1" s="1"/>
  <c r="F205" i="1"/>
  <c r="I205" i="1"/>
  <c r="I207" i="1" s="1"/>
  <c r="I437" i="1" s="1"/>
  <c r="I438" i="1" s="1"/>
  <c r="J205" i="1"/>
  <c r="J207" i="1" s="1"/>
  <c r="J437" i="1" s="1"/>
  <c r="J438" i="1" s="1"/>
  <c r="E205" i="1"/>
  <c r="F26" i="1"/>
  <c r="F28" i="1" s="1"/>
  <c r="I26" i="1"/>
  <c r="I28" i="1" s="1"/>
  <c r="J26" i="1"/>
  <c r="J28" i="1" s="1"/>
  <c r="E26" i="1"/>
  <c r="M25" i="1"/>
  <c r="N25" i="1" s="1"/>
  <c r="K25" i="1"/>
  <c r="L25" i="1" s="1"/>
  <c r="G25" i="1"/>
  <c r="G26" i="1" s="1"/>
  <c r="I288" i="1"/>
  <c r="G269" i="1"/>
  <c r="F271" i="1"/>
  <c r="M326" i="1"/>
  <c r="N326" i="1" s="1"/>
  <c r="I232" i="1"/>
  <c r="I406" i="1" s="1"/>
  <c r="I227" i="1"/>
  <c r="I388" i="1" s="1"/>
  <c r="I223" i="1"/>
  <c r="I393" i="1" s="1"/>
  <c r="I219" i="1"/>
  <c r="I424" i="1" s="1"/>
  <c r="I198" i="1"/>
  <c r="I433" i="1" s="1"/>
  <c r="I194" i="1"/>
  <c r="I432" i="1" s="1"/>
  <c r="I185" i="1"/>
  <c r="I419" i="1" s="1"/>
  <c r="I178" i="1"/>
  <c r="I425" i="1" s="1"/>
  <c r="I170" i="1"/>
  <c r="I426" i="1" s="1"/>
  <c r="I166" i="1"/>
  <c r="I415" i="1" s="1"/>
  <c r="I161" i="1"/>
  <c r="I427" i="1" s="1"/>
  <c r="I156" i="1"/>
  <c r="I421" i="1" s="1"/>
  <c r="I148" i="1"/>
  <c r="I422" i="1" s="1"/>
  <c r="I144" i="1"/>
  <c r="I420" i="1" s="1"/>
  <c r="I134" i="1"/>
  <c r="I411" i="1" s="1"/>
  <c r="I110" i="1"/>
  <c r="I394" i="1" s="1"/>
  <c r="I106" i="1"/>
  <c r="I413" i="1" s="1"/>
  <c r="I100" i="1"/>
  <c r="I412" i="1" s="1"/>
  <c r="I94" i="1"/>
  <c r="I96" i="1" s="1"/>
  <c r="I75" i="1"/>
  <c r="I396" i="1" s="1"/>
  <c r="I69" i="1"/>
  <c r="I397" i="1" s="1"/>
  <c r="I65" i="1"/>
  <c r="I414" i="1" s="1"/>
  <c r="I59" i="1"/>
  <c r="I392" i="1" s="1"/>
  <c r="I53" i="1"/>
  <c r="I398" i="1" s="1"/>
  <c r="I40" i="1"/>
  <c r="I42" i="1" s="1"/>
  <c r="I387" i="1" s="1"/>
  <c r="I33" i="1"/>
  <c r="I35" i="1" s="1"/>
  <c r="I383" i="1" s="1"/>
  <c r="I384" i="1" s="1"/>
  <c r="I15" i="1"/>
  <c r="I372" i="1" s="1"/>
  <c r="I11" i="1"/>
  <c r="I373" i="1" s="1"/>
  <c r="I292" i="1"/>
  <c r="E194" i="1"/>
  <c r="G187" i="1"/>
  <c r="M187" i="1"/>
  <c r="N187" i="1" s="1"/>
  <c r="L187" i="1"/>
  <c r="K187" i="1"/>
  <c r="E170" i="1"/>
  <c r="K286" i="1"/>
  <c r="L286" i="1" s="1"/>
  <c r="M286" i="1"/>
  <c r="N286" i="1"/>
  <c r="K287" i="1"/>
  <c r="L287" i="1"/>
  <c r="M287" i="1"/>
  <c r="N287" i="1"/>
  <c r="G151" i="1"/>
  <c r="G6" i="1"/>
  <c r="G7" i="1"/>
  <c r="G8" i="1"/>
  <c r="G9" i="1"/>
  <c r="G10" i="1"/>
  <c r="G14" i="1"/>
  <c r="G23" i="1"/>
  <c r="G31" i="1"/>
  <c r="G32" i="1"/>
  <c r="G38" i="1"/>
  <c r="G39" i="1"/>
  <c r="G45" i="1"/>
  <c r="G46" i="1"/>
  <c r="G47" i="1"/>
  <c r="G48" i="1"/>
  <c r="G52" i="1"/>
  <c r="G56" i="1"/>
  <c r="G57" i="1"/>
  <c r="G58" i="1"/>
  <c r="G62" i="1"/>
  <c r="G63" i="1"/>
  <c r="G64" i="1"/>
  <c r="G68" i="1"/>
  <c r="G72" i="1"/>
  <c r="G73" i="1"/>
  <c r="G74" i="1"/>
  <c r="G80" i="1"/>
  <c r="G81" i="1"/>
  <c r="G82" i="1"/>
  <c r="G83" i="1"/>
  <c r="G84" i="1"/>
  <c r="G85" i="1"/>
  <c r="G86" i="1"/>
  <c r="G87" i="1"/>
  <c r="G88" i="1"/>
  <c r="G89" i="1"/>
  <c r="G90" i="1"/>
  <c r="G91" i="1"/>
  <c r="G92" i="1"/>
  <c r="G93" i="1"/>
  <c r="G99" i="1"/>
  <c r="G103" i="1"/>
  <c r="G104" i="1"/>
  <c r="G105" i="1"/>
  <c r="G109" i="1"/>
  <c r="G113" i="1"/>
  <c r="G114" i="1"/>
  <c r="G115" i="1"/>
  <c r="G116" i="1"/>
  <c r="G117" i="1"/>
  <c r="G118" i="1"/>
  <c r="G119" i="1"/>
  <c r="G120" i="1"/>
  <c r="G121" i="1"/>
  <c r="G122" i="1"/>
  <c r="G123" i="1"/>
  <c r="G124" i="1"/>
  <c r="G125" i="1"/>
  <c r="G126" i="1"/>
  <c r="G127" i="1"/>
  <c r="G128" i="1"/>
  <c r="G129" i="1"/>
  <c r="G130" i="1"/>
  <c r="G131" i="1"/>
  <c r="G133" i="1"/>
  <c r="G140" i="1"/>
  <c r="G141" i="1"/>
  <c r="G142" i="1"/>
  <c r="G143" i="1"/>
  <c r="G147" i="1"/>
  <c r="G152" i="1"/>
  <c r="G153" i="1"/>
  <c r="G154" i="1"/>
  <c r="G155" i="1"/>
  <c r="G159" i="1"/>
  <c r="G160" i="1"/>
  <c r="G164" i="1"/>
  <c r="G165" i="1"/>
  <c r="G169" i="1"/>
  <c r="G173" i="1"/>
  <c r="G174" i="1"/>
  <c r="G175" i="1"/>
  <c r="G176" i="1"/>
  <c r="G177" i="1"/>
  <c r="G181" i="1"/>
  <c r="G182" i="1"/>
  <c r="G183" i="1"/>
  <c r="G184" i="1"/>
  <c r="G193" i="1"/>
  <c r="G197" i="1"/>
  <c r="G204" i="1"/>
  <c r="G205" i="1" s="1"/>
  <c r="G207" i="1" s="1"/>
  <c r="G210" i="1"/>
  <c r="G211" i="1"/>
  <c r="G212" i="1"/>
  <c r="G213" i="1"/>
  <c r="G214" i="1"/>
  <c r="G215" i="1"/>
  <c r="G216" i="1"/>
  <c r="G217" i="1"/>
  <c r="G218" i="1"/>
  <c r="G222" i="1"/>
  <c r="G226" i="1"/>
  <c r="G230" i="1"/>
  <c r="G231" i="1"/>
  <c r="G234" i="1"/>
  <c r="G242" i="1"/>
  <c r="G244" i="1"/>
  <c r="G5" i="1"/>
  <c r="G280" i="1"/>
  <c r="G281" i="1"/>
  <c r="G282" i="1"/>
  <c r="G283" i="1"/>
  <c r="G284" i="1"/>
  <c r="G285" i="1"/>
  <c r="G286" i="1"/>
  <c r="G287" i="1"/>
  <c r="G290" i="1"/>
  <c r="G291" i="1"/>
  <c r="G326" i="1"/>
  <c r="J178" i="1"/>
  <c r="J425" i="1" s="1"/>
  <c r="E178" i="1"/>
  <c r="J156" i="1"/>
  <c r="J421" i="1" s="1"/>
  <c r="E156" i="1"/>
  <c r="K181" i="1"/>
  <c r="L181" i="1" s="1"/>
  <c r="M181" i="1"/>
  <c r="N181" i="1"/>
  <c r="K182" i="1"/>
  <c r="L182" i="1" s="1"/>
  <c r="M182" i="1"/>
  <c r="N182" i="1"/>
  <c r="K183" i="1"/>
  <c r="L183" i="1"/>
  <c r="M183" i="1"/>
  <c r="N183" i="1"/>
  <c r="K184" i="1"/>
  <c r="L184" i="1" s="1"/>
  <c r="M184" i="1"/>
  <c r="N184" i="1"/>
  <c r="J185" i="1"/>
  <c r="J419" i="1" s="1"/>
  <c r="K174" i="1"/>
  <c r="L174" i="1"/>
  <c r="M174" i="1"/>
  <c r="N174" i="1"/>
  <c r="K175" i="1"/>
  <c r="L175" i="1"/>
  <c r="M175" i="1"/>
  <c r="N175" i="1"/>
  <c r="K176" i="1"/>
  <c r="L176" i="1"/>
  <c r="M176" i="1"/>
  <c r="N176" i="1"/>
  <c r="K177" i="1"/>
  <c r="L177" i="1" s="1"/>
  <c r="M177" i="1"/>
  <c r="N177" i="1"/>
  <c r="F170" i="1"/>
  <c r="F426" i="1" s="1"/>
  <c r="J170" i="1"/>
  <c r="J426" i="1" s="1"/>
  <c r="N166" i="1"/>
  <c r="J166" i="1"/>
  <c r="J415" i="1" s="1"/>
  <c r="E166" i="1"/>
  <c r="J161" i="1"/>
  <c r="J427" i="1" s="1"/>
  <c r="E161" i="1"/>
  <c r="K151" i="1"/>
  <c r="L151" i="1"/>
  <c r="M151" i="1"/>
  <c r="N151" i="1"/>
  <c r="K152" i="1"/>
  <c r="L152" i="1"/>
  <c r="M152" i="1"/>
  <c r="N152" i="1"/>
  <c r="K153" i="1"/>
  <c r="L153" i="1"/>
  <c r="M153" i="1"/>
  <c r="N153" i="1"/>
  <c r="K154" i="1"/>
  <c r="L154" i="1"/>
  <c r="M154" i="1"/>
  <c r="N154" i="1"/>
  <c r="K155" i="1"/>
  <c r="L155" i="1" s="1"/>
  <c r="M155" i="1"/>
  <c r="N155" i="1"/>
  <c r="K159" i="1"/>
  <c r="L159" i="1" s="1"/>
  <c r="M159" i="1"/>
  <c r="N159" i="1"/>
  <c r="K160" i="1"/>
  <c r="L160" i="1" s="1"/>
  <c r="M160" i="1"/>
  <c r="N160" i="1"/>
  <c r="K164" i="1"/>
  <c r="L164" i="1" s="1"/>
  <c r="M164" i="1"/>
  <c r="N164" i="1"/>
  <c r="K169" i="1"/>
  <c r="L169" i="1" s="1"/>
  <c r="M169" i="1"/>
  <c r="N169" i="1" s="1"/>
  <c r="K173" i="1"/>
  <c r="L173" i="1" s="1"/>
  <c r="M173" i="1"/>
  <c r="N173" i="1"/>
  <c r="J232" i="1"/>
  <c r="J406" i="1" s="1"/>
  <c r="E232" i="1"/>
  <c r="F227" i="1"/>
  <c r="F388" i="1" s="1"/>
  <c r="J227" i="1"/>
  <c r="J388" i="1" s="1"/>
  <c r="E227" i="1"/>
  <c r="F223" i="1"/>
  <c r="F393" i="1" s="1"/>
  <c r="J223" i="1"/>
  <c r="J393" i="1" s="1"/>
  <c r="E223" i="1"/>
  <c r="E219" i="1"/>
  <c r="J219" i="1"/>
  <c r="J424" i="1" s="1"/>
  <c r="E271" i="1"/>
  <c r="K210" i="1"/>
  <c r="L210" i="1" s="1"/>
  <c r="M210" i="1"/>
  <c r="N210" i="1"/>
  <c r="K211" i="1"/>
  <c r="L211" i="1" s="1"/>
  <c r="M211" i="1"/>
  <c r="N211" i="1"/>
  <c r="K212" i="1"/>
  <c r="L212" i="1" s="1"/>
  <c r="M212" i="1"/>
  <c r="N212" i="1"/>
  <c r="K213" i="1"/>
  <c r="L213" i="1" s="1"/>
  <c r="M213" i="1"/>
  <c r="N213" i="1"/>
  <c r="K214" i="1"/>
  <c r="L214" i="1" s="1"/>
  <c r="M214" i="1"/>
  <c r="N214" i="1"/>
  <c r="K215" i="1"/>
  <c r="L215" i="1" s="1"/>
  <c r="M215" i="1"/>
  <c r="N215" i="1"/>
  <c r="K216" i="1"/>
  <c r="L216" i="1" s="1"/>
  <c r="M216" i="1"/>
  <c r="N216" i="1"/>
  <c r="K217" i="1"/>
  <c r="L217" i="1"/>
  <c r="M217" i="1"/>
  <c r="N217" i="1"/>
  <c r="K218" i="1"/>
  <c r="L218" i="1" s="1"/>
  <c r="M218" i="1"/>
  <c r="N218" i="1"/>
  <c r="K222" i="1"/>
  <c r="L222" i="1" s="1"/>
  <c r="M222" i="1"/>
  <c r="N222" i="1" s="1"/>
  <c r="K226" i="1"/>
  <c r="L226" i="1" s="1"/>
  <c r="M226" i="1"/>
  <c r="N226" i="1" s="1"/>
  <c r="N229" i="1"/>
  <c r="K230" i="1"/>
  <c r="L230" i="1" s="1"/>
  <c r="M230" i="1"/>
  <c r="N230" i="1"/>
  <c r="K231" i="1"/>
  <c r="L231" i="1" s="1"/>
  <c r="M231" i="1"/>
  <c r="N231" i="1"/>
  <c r="K234" i="1"/>
  <c r="L234" i="1" s="1"/>
  <c r="M234" i="1"/>
  <c r="N234" i="1" s="1"/>
  <c r="J198" i="1"/>
  <c r="J433" i="1" s="1"/>
  <c r="E198" i="1"/>
  <c r="J194" i="1"/>
  <c r="J432" i="1" s="1"/>
  <c r="F148" i="1"/>
  <c r="J148" i="1"/>
  <c r="J422" i="1" s="1"/>
  <c r="E148" i="1"/>
  <c r="J144" i="1"/>
  <c r="J420" i="1" s="1"/>
  <c r="E144" i="1"/>
  <c r="N117" i="1"/>
  <c r="M117" i="1"/>
  <c r="K117" i="1"/>
  <c r="L117" i="1" s="1"/>
  <c r="F110" i="1"/>
  <c r="F394" i="1" s="1"/>
  <c r="J110" i="1"/>
  <c r="J394" i="1" s="1"/>
  <c r="E110" i="1"/>
  <c r="J106" i="1"/>
  <c r="J413" i="1" s="1"/>
  <c r="E106" i="1"/>
  <c r="F100" i="1"/>
  <c r="F412" i="1" s="1"/>
  <c r="J100" i="1"/>
  <c r="J412" i="1" s="1"/>
  <c r="E100" i="1"/>
  <c r="J94" i="1"/>
  <c r="J402" i="1" s="1"/>
  <c r="J403" i="1" s="1"/>
  <c r="E94" i="1"/>
  <c r="J75" i="1"/>
  <c r="J396" i="1" s="1"/>
  <c r="E75" i="1"/>
  <c r="F69" i="1"/>
  <c r="F397" i="1" s="1"/>
  <c r="J69" i="1"/>
  <c r="J397" i="1" s="1"/>
  <c r="E69" i="1"/>
  <c r="K68" i="1"/>
  <c r="L68" i="1" s="1"/>
  <c r="M68" i="1"/>
  <c r="N68" i="1" s="1"/>
  <c r="N71" i="1"/>
  <c r="K72" i="1"/>
  <c r="L72" i="1" s="1"/>
  <c r="M72" i="1"/>
  <c r="N72" i="1"/>
  <c r="K73" i="1"/>
  <c r="L73" i="1" s="1"/>
  <c r="M73" i="1"/>
  <c r="N73" i="1"/>
  <c r="K74" i="1"/>
  <c r="L74" i="1" s="1"/>
  <c r="M74" i="1"/>
  <c r="N74" i="1"/>
  <c r="K80" i="1"/>
  <c r="L80" i="1" s="1"/>
  <c r="M80" i="1"/>
  <c r="N80" i="1"/>
  <c r="K81" i="1"/>
  <c r="L81" i="1" s="1"/>
  <c r="M81" i="1"/>
  <c r="N81" i="1"/>
  <c r="K82" i="1"/>
  <c r="L82" i="1" s="1"/>
  <c r="M82" i="1"/>
  <c r="N82" i="1"/>
  <c r="K83" i="1"/>
  <c r="L83" i="1" s="1"/>
  <c r="M83" i="1"/>
  <c r="N83" i="1"/>
  <c r="K84" i="1"/>
  <c r="L84" i="1" s="1"/>
  <c r="M84" i="1"/>
  <c r="N84" i="1"/>
  <c r="K85" i="1"/>
  <c r="L85" i="1" s="1"/>
  <c r="M85" i="1"/>
  <c r="N85" i="1"/>
  <c r="K86" i="1"/>
  <c r="L86" i="1" s="1"/>
  <c r="M86" i="1"/>
  <c r="N86" i="1"/>
  <c r="K87" i="1"/>
  <c r="L87" i="1" s="1"/>
  <c r="M87" i="1"/>
  <c r="N87" i="1"/>
  <c r="K88" i="1"/>
  <c r="L88" i="1"/>
  <c r="M88" i="1"/>
  <c r="N88" i="1"/>
  <c r="K89" i="1"/>
  <c r="L89" i="1"/>
  <c r="M89" i="1"/>
  <c r="N89" i="1"/>
  <c r="K90" i="1"/>
  <c r="L90" i="1"/>
  <c r="M90" i="1"/>
  <c r="N90" i="1"/>
  <c r="K91" i="1"/>
  <c r="L91" i="1"/>
  <c r="M91" i="1"/>
  <c r="N91" i="1"/>
  <c r="K92" i="1"/>
  <c r="L92" i="1"/>
  <c r="M92" i="1"/>
  <c r="N92" i="1"/>
  <c r="K93" i="1"/>
  <c r="L93" i="1" s="1"/>
  <c r="M93" i="1"/>
  <c r="N93" i="1"/>
  <c r="K99" i="1"/>
  <c r="L99" i="1" s="1"/>
  <c r="M99" i="1"/>
  <c r="N99" i="1" s="1"/>
  <c r="K103" i="1"/>
  <c r="L103" i="1" s="1"/>
  <c r="M103" i="1"/>
  <c r="N103" i="1"/>
  <c r="K104" i="1"/>
  <c r="L104" i="1" s="1"/>
  <c r="M104" i="1"/>
  <c r="N104" i="1"/>
  <c r="K105" i="1"/>
  <c r="L105" i="1" s="1"/>
  <c r="M105" i="1"/>
  <c r="N105" i="1"/>
  <c r="K109" i="1"/>
  <c r="L109" i="1" s="1"/>
  <c r="M109" i="1"/>
  <c r="N109" i="1" s="1"/>
  <c r="K113" i="1"/>
  <c r="L113" i="1" s="1"/>
  <c r="M113" i="1"/>
  <c r="N113" i="1"/>
  <c r="K114" i="1"/>
  <c r="L114" i="1" s="1"/>
  <c r="M114" i="1"/>
  <c r="N114" i="1"/>
  <c r="K115" i="1"/>
  <c r="L115" i="1" s="1"/>
  <c r="M115" i="1"/>
  <c r="N115" i="1"/>
  <c r="K116" i="1"/>
  <c r="L116" i="1" s="1"/>
  <c r="M116" i="1"/>
  <c r="N116" i="1"/>
  <c r="K118" i="1"/>
  <c r="L118" i="1" s="1"/>
  <c r="M118" i="1"/>
  <c r="N118" i="1"/>
  <c r="K119" i="1"/>
  <c r="L119" i="1" s="1"/>
  <c r="M119" i="1"/>
  <c r="N119" i="1"/>
  <c r="K120" i="1"/>
  <c r="L120" i="1" s="1"/>
  <c r="M120" i="1"/>
  <c r="N120" i="1"/>
  <c r="K121" i="1"/>
  <c r="L121" i="1" s="1"/>
  <c r="M121" i="1"/>
  <c r="N121" i="1"/>
  <c r="K122" i="1"/>
  <c r="L122" i="1" s="1"/>
  <c r="M122" i="1"/>
  <c r="N122" i="1"/>
  <c r="K123" i="1"/>
  <c r="L123" i="1" s="1"/>
  <c r="M123" i="1"/>
  <c r="N123" i="1"/>
  <c r="K124" i="1"/>
  <c r="L124" i="1" s="1"/>
  <c r="M124" i="1"/>
  <c r="N124" i="1"/>
  <c r="K125" i="1"/>
  <c r="L125" i="1" s="1"/>
  <c r="M125" i="1"/>
  <c r="N125" i="1"/>
  <c r="K126" i="1"/>
  <c r="L126" i="1"/>
  <c r="M126" i="1"/>
  <c r="N126" i="1"/>
  <c r="K127" i="1"/>
  <c r="L127" i="1"/>
  <c r="M127" i="1"/>
  <c r="N127" i="1"/>
  <c r="K128" i="1"/>
  <c r="L128" i="1"/>
  <c r="M128" i="1"/>
  <c r="N128" i="1"/>
  <c r="K129" i="1"/>
  <c r="L129" i="1"/>
  <c r="M129" i="1"/>
  <c r="N129" i="1"/>
  <c r="K130" i="1"/>
  <c r="L130" i="1"/>
  <c r="M130" i="1"/>
  <c r="N130" i="1"/>
  <c r="K131" i="1"/>
  <c r="L131" i="1"/>
  <c r="M131" i="1"/>
  <c r="N131" i="1"/>
  <c r="K133" i="1"/>
  <c r="L133" i="1" s="1"/>
  <c r="M133" i="1"/>
  <c r="N133" i="1"/>
  <c r="K140" i="1"/>
  <c r="L140" i="1"/>
  <c r="M140" i="1"/>
  <c r="N140" i="1"/>
  <c r="K141" i="1"/>
  <c r="L141" i="1"/>
  <c r="M141" i="1"/>
  <c r="N141" i="1"/>
  <c r="K142" i="1"/>
  <c r="L142" i="1"/>
  <c r="M142" i="1"/>
  <c r="N142" i="1"/>
  <c r="K143" i="1"/>
  <c r="L143" i="1" s="1"/>
  <c r="M143" i="1"/>
  <c r="N143" i="1"/>
  <c r="K147" i="1"/>
  <c r="L147" i="1" s="1"/>
  <c r="M147" i="1"/>
  <c r="N147" i="1" s="1"/>
  <c r="K193" i="1"/>
  <c r="L193" i="1"/>
  <c r="M193" i="1"/>
  <c r="N193" i="1"/>
  <c r="K197" i="1"/>
  <c r="L197" i="1" s="1"/>
  <c r="M197" i="1"/>
  <c r="N197" i="1"/>
  <c r="N199" i="1"/>
  <c r="K204" i="1"/>
  <c r="L204" i="1" s="1"/>
  <c r="M204" i="1"/>
  <c r="N204" i="1" s="1"/>
  <c r="J65" i="1"/>
  <c r="J414" i="1" s="1"/>
  <c r="E65" i="1"/>
  <c r="J59" i="1"/>
  <c r="J392" i="1" s="1"/>
  <c r="E59" i="1"/>
  <c r="F53" i="1"/>
  <c r="F398" i="1" s="1"/>
  <c r="J53" i="1"/>
  <c r="J398" i="1" s="1"/>
  <c r="E53" i="1"/>
  <c r="E49" i="1"/>
  <c r="F40" i="1"/>
  <c r="F42" i="1" s="1"/>
  <c r="F387" i="1" s="1"/>
  <c r="J40" i="1"/>
  <c r="J42" i="1" s="1"/>
  <c r="J387" i="1" s="1"/>
  <c r="E40" i="1"/>
  <c r="F33" i="1"/>
  <c r="J33" i="1"/>
  <c r="J35" i="1" s="1"/>
  <c r="J383" i="1" s="1"/>
  <c r="J384" i="1" s="1"/>
  <c r="E33" i="1"/>
  <c r="F15" i="1"/>
  <c r="F372" i="1" s="1"/>
  <c r="J15" i="1"/>
  <c r="J372" i="1" s="1"/>
  <c r="E15" i="1"/>
  <c r="J11" i="1"/>
  <c r="J373" i="1" s="1"/>
  <c r="E11" i="1"/>
  <c r="F292" i="1"/>
  <c r="J292" i="1"/>
  <c r="E292" i="1"/>
  <c r="E11" i="2"/>
  <c r="G11" i="2"/>
  <c r="H11" i="2"/>
  <c r="I11" i="2"/>
  <c r="J11" i="2"/>
  <c r="F11" i="2"/>
  <c r="J6" i="2"/>
  <c r="D6" i="2"/>
  <c r="E6" i="2"/>
  <c r="F6" i="2"/>
  <c r="G6" i="2"/>
  <c r="H6" i="2"/>
  <c r="I6" i="2"/>
  <c r="C6" i="2"/>
  <c r="J288" i="1"/>
  <c r="K280" i="1"/>
  <c r="L280" i="1" s="1"/>
  <c r="M280" i="1"/>
  <c r="N280" i="1" s="1"/>
  <c r="K281" i="1"/>
  <c r="L281" i="1"/>
  <c r="M281" i="1"/>
  <c r="N281" i="1"/>
  <c r="K282" i="1"/>
  <c r="L282" i="1"/>
  <c r="M282" i="1"/>
  <c r="N282" i="1" s="1"/>
  <c r="K283" i="1"/>
  <c r="L283" i="1"/>
  <c r="M283" i="1"/>
  <c r="N283" i="1" s="1"/>
  <c r="K284" i="1"/>
  <c r="L284" i="1"/>
  <c r="M284" i="1"/>
  <c r="N284" i="1" s="1"/>
  <c r="K285" i="1"/>
  <c r="L285" i="1" s="1"/>
  <c r="M285" i="1"/>
  <c r="N285" i="1" s="1"/>
  <c r="K290" i="1"/>
  <c r="L290" i="1" s="1"/>
  <c r="M290" i="1"/>
  <c r="N290" i="1" s="1"/>
  <c r="K291" i="1"/>
  <c r="L291" i="1" s="1"/>
  <c r="M291" i="1"/>
  <c r="N291" i="1" s="1"/>
  <c r="K5" i="1"/>
  <c r="L5" i="1"/>
  <c r="M5" i="1"/>
  <c r="N5" i="1"/>
  <c r="K6" i="1"/>
  <c r="L6" i="1"/>
  <c r="M6" i="1"/>
  <c r="N6" i="1"/>
  <c r="K7" i="1"/>
  <c r="L7" i="1" s="1"/>
  <c r="M7" i="1"/>
  <c r="N7" i="1"/>
  <c r="K8" i="1"/>
  <c r="L8" i="1"/>
  <c r="M8" i="1"/>
  <c r="N8" i="1"/>
  <c r="K9" i="1"/>
  <c r="L9" i="1"/>
  <c r="M9" i="1"/>
  <c r="N9" i="1"/>
  <c r="K10" i="1"/>
  <c r="L10" i="1" s="1"/>
  <c r="M10" i="1"/>
  <c r="N10" i="1"/>
  <c r="K14" i="1"/>
  <c r="L14" i="1" s="1"/>
  <c r="M14" i="1"/>
  <c r="N14" i="1" s="1"/>
  <c r="K23" i="1"/>
  <c r="L23" i="1"/>
  <c r="M23" i="1"/>
  <c r="N23" i="1" s="1"/>
  <c r="K31" i="1"/>
  <c r="L31" i="1" s="1"/>
  <c r="M31" i="1"/>
  <c r="N31" i="1" s="1"/>
  <c r="K32" i="1"/>
  <c r="L32" i="1"/>
  <c r="M32" i="1"/>
  <c r="N32" i="1"/>
  <c r="K38" i="1"/>
  <c r="L38" i="1"/>
  <c r="M38" i="1"/>
  <c r="N38" i="1"/>
  <c r="K39" i="1"/>
  <c r="L39" i="1" s="1"/>
  <c r="M39" i="1"/>
  <c r="N39" i="1" s="1"/>
  <c r="K45" i="1"/>
  <c r="L45" i="1" s="1"/>
  <c r="M45" i="1"/>
  <c r="N45" i="1"/>
  <c r="K46" i="1"/>
  <c r="L46" i="1" s="1"/>
  <c r="M46" i="1"/>
  <c r="N46" i="1"/>
  <c r="K47" i="1"/>
  <c r="L47" i="1" s="1"/>
  <c r="M47" i="1"/>
  <c r="N47" i="1"/>
  <c r="K48" i="1"/>
  <c r="L48" i="1" s="1"/>
  <c r="M48" i="1"/>
  <c r="N48" i="1"/>
  <c r="K52" i="1"/>
  <c r="L52" i="1" s="1"/>
  <c r="M52" i="1"/>
  <c r="N52" i="1" s="1"/>
  <c r="K56" i="1"/>
  <c r="L56" i="1" s="1"/>
  <c r="M56" i="1"/>
  <c r="N56" i="1"/>
  <c r="K57" i="1"/>
  <c r="L57" i="1" s="1"/>
  <c r="M57" i="1"/>
  <c r="N57" i="1"/>
  <c r="K58" i="1"/>
  <c r="L58" i="1" s="1"/>
  <c r="M58" i="1"/>
  <c r="N58" i="1"/>
  <c r="K61" i="1"/>
  <c r="K62" i="1"/>
  <c r="L62" i="1" s="1"/>
  <c r="M62" i="1"/>
  <c r="N62" i="1"/>
  <c r="K63" i="1"/>
  <c r="L63" i="1"/>
  <c r="M63" i="1"/>
  <c r="N63" i="1"/>
  <c r="K64" i="1"/>
  <c r="L64" i="1" s="1"/>
  <c r="M64" i="1"/>
  <c r="N64" i="1"/>
  <c r="H271" i="1" l="1"/>
  <c r="J389" i="1"/>
  <c r="E411" i="1"/>
  <c r="G411" i="1" s="1"/>
  <c r="H292" i="1"/>
  <c r="H288" i="1"/>
  <c r="H343" i="1"/>
  <c r="H362" i="1"/>
  <c r="I402" i="1"/>
  <c r="I403" i="1" s="1"/>
  <c r="H419" i="1"/>
  <c r="H361" i="1"/>
  <c r="I363" i="1"/>
  <c r="H344" i="1"/>
  <c r="E392" i="1"/>
  <c r="H392" i="1" s="1"/>
  <c r="H59" i="1"/>
  <c r="E413" i="1"/>
  <c r="H413" i="1" s="1"/>
  <c r="H106" i="1"/>
  <c r="E420" i="1"/>
  <c r="H420" i="1" s="1"/>
  <c r="H144" i="1"/>
  <c r="E453" i="1"/>
  <c r="H453" i="1" s="1"/>
  <c r="H451" i="1"/>
  <c r="I444" i="1"/>
  <c r="E373" i="1"/>
  <c r="H373" i="1" s="1"/>
  <c r="H11" i="1"/>
  <c r="G11" i="1"/>
  <c r="E42" i="1"/>
  <c r="G42" i="1" s="1"/>
  <c r="H40" i="1"/>
  <c r="E396" i="1"/>
  <c r="H396" i="1" s="1"/>
  <c r="H75" i="1"/>
  <c r="E421" i="1"/>
  <c r="H421" i="1" s="1"/>
  <c r="H156" i="1"/>
  <c r="E432" i="1"/>
  <c r="H432" i="1" s="1"/>
  <c r="H194" i="1"/>
  <c r="E374" i="1"/>
  <c r="G374" i="1" s="1"/>
  <c r="H19" i="1"/>
  <c r="H411" i="1"/>
  <c r="I345" i="1"/>
  <c r="E394" i="1"/>
  <c r="H394" i="1" s="1"/>
  <c r="H110" i="1"/>
  <c r="E422" i="1"/>
  <c r="H148" i="1"/>
  <c r="E406" i="1"/>
  <c r="H406" i="1" s="1"/>
  <c r="H232" i="1"/>
  <c r="E207" i="1"/>
  <c r="K207" i="1" s="1"/>
  <c r="L207" i="1" s="1"/>
  <c r="H205" i="1"/>
  <c r="E415" i="1"/>
  <c r="L415" i="1" s="1"/>
  <c r="H166" i="1"/>
  <c r="E372" i="1"/>
  <c r="H372" i="1" s="1"/>
  <c r="H15" i="1"/>
  <c r="E402" i="1"/>
  <c r="G402" i="1" s="1"/>
  <c r="H94" i="1"/>
  <c r="E424" i="1"/>
  <c r="H424" i="1" s="1"/>
  <c r="H219" i="1"/>
  <c r="E425" i="1"/>
  <c r="H425" i="1" s="1"/>
  <c r="H178" i="1"/>
  <c r="H423" i="1"/>
  <c r="L378" i="1"/>
  <c r="H378" i="1"/>
  <c r="L356" i="1"/>
  <c r="H356" i="1"/>
  <c r="E349" i="1"/>
  <c r="H349" i="1" s="1"/>
  <c r="H348" i="1"/>
  <c r="E414" i="1"/>
  <c r="H414" i="1" s="1"/>
  <c r="H65" i="1"/>
  <c r="E395" i="1"/>
  <c r="H395" i="1" s="1"/>
  <c r="H49" i="1"/>
  <c r="E393" i="1"/>
  <c r="H393" i="1" s="1"/>
  <c r="H223" i="1"/>
  <c r="E426" i="1"/>
  <c r="H426" i="1" s="1"/>
  <c r="H170" i="1"/>
  <c r="L407" i="1"/>
  <c r="H407" i="1"/>
  <c r="E388" i="1"/>
  <c r="H388" i="1" s="1"/>
  <c r="H227" i="1"/>
  <c r="E398" i="1"/>
  <c r="H398" i="1" s="1"/>
  <c r="H53" i="1"/>
  <c r="E412" i="1"/>
  <c r="H412" i="1" s="1"/>
  <c r="H100" i="1"/>
  <c r="E427" i="1"/>
  <c r="H427" i="1" s="1"/>
  <c r="H161" i="1"/>
  <c r="E353" i="1"/>
  <c r="H353" i="1" s="1"/>
  <c r="H352" i="1"/>
  <c r="E35" i="1"/>
  <c r="K35" i="1" s="1"/>
  <c r="L35" i="1" s="1"/>
  <c r="H33" i="1"/>
  <c r="E397" i="1"/>
  <c r="H397" i="1" s="1"/>
  <c r="H69" i="1"/>
  <c r="E433" i="1"/>
  <c r="H433" i="1" s="1"/>
  <c r="H198" i="1"/>
  <c r="E28" i="1"/>
  <c r="H28" i="1" s="1"/>
  <c r="H26" i="1"/>
  <c r="I389" i="1"/>
  <c r="I21" i="1"/>
  <c r="I379" i="1"/>
  <c r="I380" i="1" s="1"/>
  <c r="J21" i="1"/>
  <c r="P434" i="1"/>
  <c r="F21" i="1"/>
  <c r="E45" i="5"/>
  <c r="D6" i="5" s="1"/>
  <c r="D45" i="5" s="1"/>
  <c r="C6" i="5" s="1"/>
  <c r="C45" i="5" s="1"/>
  <c r="P399" i="1"/>
  <c r="J429" i="1"/>
  <c r="J416" i="1"/>
  <c r="J434" i="1"/>
  <c r="I399" i="1"/>
  <c r="I375" i="1"/>
  <c r="J399" i="1"/>
  <c r="I434" i="1"/>
  <c r="J375" i="1"/>
  <c r="I429" i="1"/>
  <c r="J345" i="1"/>
  <c r="J363" i="1"/>
  <c r="P402" i="1"/>
  <c r="P403" i="1" s="1"/>
  <c r="J379" i="1"/>
  <c r="J380" i="1" s="1"/>
  <c r="P444" i="1"/>
  <c r="I408" i="1"/>
  <c r="I416" i="1"/>
  <c r="P379" i="1"/>
  <c r="P380" i="1" s="1"/>
  <c r="J408" i="1"/>
  <c r="J444" i="1"/>
  <c r="P363" i="1"/>
  <c r="J358" i="1"/>
  <c r="E444" i="1"/>
  <c r="F189" i="1"/>
  <c r="G423" i="1"/>
  <c r="J303" i="1"/>
  <c r="I303" i="1"/>
  <c r="G361" i="1"/>
  <c r="K348" i="1"/>
  <c r="P358" i="1"/>
  <c r="F434" i="1"/>
  <c r="I358" i="1"/>
  <c r="G378" i="1"/>
  <c r="M356" i="1"/>
  <c r="N356" i="1" s="1"/>
  <c r="G348" i="1"/>
  <c r="G419" i="1"/>
  <c r="G344" i="1"/>
  <c r="M344" i="1"/>
  <c r="N344" i="1" s="1"/>
  <c r="E363" i="1"/>
  <c r="K343" i="1"/>
  <c r="L343" i="1" s="1"/>
  <c r="F349" i="1"/>
  <c r="G428" i="1"/>
  <c r="M343" i="1"/>
  <c r="N343" i="1" s="1"/>
  <c r="M362" i="1"/>
  <c r="N362" i="1" s="1"/>
  <c r="G362" i="1"/>
  <c r="G357" i="1"/>
  <c r="G407" i="1"/>
  <c r="G356" i="1"/>
  <c r="F416" i="1"/>
  <c r="L441" i="1"/>
  <c r="K378" i="1"/>
  <c r="K356" i="1"/>
  <c r="M352" i="1"/>
  <c r="N352" i="1" s="1"/>
  <c r="F408" i="1"/>
  <c r="G441" i="1"/>
  <c r="L428" i="1"/>
  <c r="L357" i="1"/>
  <c r="K352" i="1"/>
  <c r="L352" i="1" s="1"/>
  <c r="M348" i="1"/>
  <c r="N348" i="1" s="1"/>
  <c r="F363" i="1"/>
  <c r="M357" i="1"/>
  <c r="N357" i="1" s="1"/>
  <c r="L348" i="1"/>
  <c r="G343" i="1"/>
  <c r="G451" i="1"/>
  <c r="K362" i="1"/>
  <c r="L362" i="1" s="1"/>
  <c r="F358" i="1"/>
  <c r="G352" i="1"/>
  <c r="K344" i="1"/>
  <c r="L344" i="1" s="1"/>
  <c r="M394" i="1"/>
  <c r="N394" i="1" s="1"/>
  <c r="M402" i="1"/>
  <c r="N402" i="1" s="1"/>
  <c r="M378" i="1"/>
  <c r="N378" i="1" s="1"/>
  <c r="K428" i="1"/>
  <c r="M428" i="1"/>
  <c r="N428" i="1" s="1"/>
  <c r="M388" i="1"/>
  <c r="N388" i="1" s="1"/>
  <c r="M396" i="1"/>
  <c r="N396" i="1" s="1"/>
  <c r="M412" i="1"/>
  <c r="N412" i="1" s="1"/>
  <c r="M372" i="1"/>
  <c r="N372" i="1" s="1"/>
  <c r="K357" i="1"/>
  <c r="M419" i="1"/>
  <c r="N419" i="1" s="1"/>
  <c r="M411" i="1"/>
  <c r="N411" i="1" s="1"/>
  <c r="M395" i="1"/>
  <c r="N395" i="1" s="1"/>
  <c r="M387" i="1"/>
  <c r="N387" i="1" s="1"/>
  <c r="M353" i="1"/>
  <c r="N353" i="1" s="1"/>
  <c r="K419" i="1"/>
  <c r="L419" i="1" s="1"/>
  <c r="M373" i="1"/>
  <c r="N373" i="1" s="1"/>
  <c r="F389" i="1"/>
  <c r="F399" i="1"/>
  <c r="E358" i="1"/>
  <c r="H358" i="1" s="1"/>
  <c r="F375" i="1"/>
  <c r="F379" i="1"/>
  <c r="F380" i="1" s="1"/>
  <c r="F422" i="1"/>
  <c r="F429" i="1" s="1"/>
  <c r="E379" i="1"/>
  <c r="F345" i="1"/>
  <c r="E345" i="1"/>
  <c r="G134" i="1"/>
  <c r="P11" i="1"/>
  <c r="K288" i="1"/>
  <c r="L288" i="1" s="1"/>
  <c r="E21" i="1"/>
  <c r="M19" i="1"/>
  <c r="N19" i="1" s="1"/>
  <c r="G19" i="1"/>
  <c r="K19" i="1"/>
  <c r="L19" i="1" s="1"/>
  <c r="M18" i="1"/>
  <c r="N18" i="1" s="1"/>
  <c r="E294" i="1"/>
  <c r="P200" i="1"/>
  <c r="P65" i="1"/>
  <c r="P414" i="1" s="1"/>
  <c r="P416" i="1" s="1"/>
  <c r="P33" i="1"/>
  <c r="P35" i="1" s="1"/>
  <c r="P383" i="1" s="1"/>
  <c r="P384" i="1" s="1"/>
  <c r="P161" i="1"/>
  <c r="P427" i="1" s="1"/>
  <c r="P429" i="1" s="1"/>
  <c r="P40" i="1"/>
  <c r="P42" i="1" s="1"/>
  <c r="P387" i="1" s="1"/>
  <c r="P389" i="1" s="1"/>
  <c r="G271" i="1"/>
  <c r="P236" i="1"/>
  <c r="I294" i="1"/>
  <c r="I328" i="1" s="1"/>
  <c r="I330" i="1" s="1"/>
  <c r="P136" i="1"/>
  <c r="J136" i="1"/>
  <c r="J236" i="1"/>
  <c r="K205" i="1"/>
  <c r="L205" i="1" s="1"/>
  <c r="G28" i="1"/>
  <c r="M205" i="1"/>
  <c r="N205" i="1" s="1"/>
  <c r="F207" i="1"/>
  <c r="F437" i="1" s="1"/>
  <c r="F438" i="1" s="1"/>
  <c r="M26" i="1"/>
  <c r="N26" i="1" s="1"/>
  <c r="K26" i="1"/>
  <c r="L26" i="1" s="1"/>
  <c r="K223" i="1"/>
  <c r="L223" i="1" s="1"/>
  <c r="I136" i="1"/>
  <c r="I236" i="1"/>
  <c r="I77" i="1"/>
  <c r="I189" i="1"/>
  <c r="I200" i="1"/>
  <c r="J189" i="1"/>
  <c r="E189" i="1"/>
  <c r="M288" i="1"/>
  <c r="N288" i="1" s="1"/>
  <c r="G156" i="1"/>
  <c r="G53" i="1"/>
  <c r="G178" i="1"/>
  <c r="G94" i="1"/>
  <c r="G227" i="1"/>
  <c r="G65" i="1"/>
  <c r="G161" i="1"/>
  <c r="G49" i="1"/>
  <c r="G148" i="1"/>
  <c r="G170" i="1"/>
  <c r="G106" i="1"/>
  <c r="G59" i="1"/>
  <c r="G75" i="1"/>
  <c r="G198" i="1"/>
  <c r="G223" i="1"/>
  <c r="G185" i="1"/>
  <c r="G219" i="1"/>
  <c r="G144" i="1"/>
  <c r="G100" i="1"/>
  <c r="G232" i="1"/>
  <c r="G15" i="1"/>
  <c r="G69" i="1"/>
  <c r="G292" i="1"/>
  <c r="G110" i="1"/>
  <c r="G33" i="1"/>
  <c r="G40" i="1"/>
  <c r="G194" i="1"/>
  <c r="G166" i="1"/>
  <c r="G288" i="1"/>
  <c r="M156" i="1"/>
  <c r="N156" i="1" s="1"/>
  <c r="K156" i="1"/>
  <c r="L156" i="1" s="1"/>
  <c r="K185" i="1"/>
  <c r="L185" i="1" s="1"/>
  <c r="M185" i="1"/>
  <c r="N185" i="1" s="1"/>
  <c r="M178" i="1"/>
  <c r="N178" i="1" s="1"/>
  <c r="K178" i="1"/>
  <c r="L178" i="1" s="1"/>
  <c r="M170" i="1"/>
  <c r="N170" i="1" s="1"/>
  <c r="K170" i="1"/>
  <c r="L170" i="1" s="1"/>
  <c r="M166" i="1"/>
  <c r="K166" i="1"/>
  <c r="L166" i="1" s="1"/>
  <c r="M161" i="1"/>
  <c r="N161" i="1" s="1"/>
  <c r="K161" i="1"/>
  <c r="L161" i="1" s="1"/>
  <c r="E236" i="1"/>
  <c r="M232" i="1"/>
  <c r="N232" i="1" s="1"/>
  <c r="F236" i="1"/>
  <c r="K232" i="1"/>
  <c r="L232" i="1" s="1"/>
  <c r="M227" i="1"/>
  <c r="N227" i="1" s="1"/>
  <c r="K271" i="1"/>
  <c r="L271" i="1" s="1"/>
  <c r="K227" i="1"/>
  <c r="L227" i="1" s="1"/>
  <c r="M223" i="1"/>
  <c r="N223" i="1" s="1"/>
  <c r="M271" i="1"/>
  <c r="N271" i="1" s="1"/>
  <c r="K219" i="1"/>
  <c r="L219" i="1" s="1"/>
  <c r="M219" i="1"/>
  <c r="N219" i="1" s="1"/>
  <c r="K148" i="1"/>
  <c r="L148" i="1" s="1"/>
  <c r="J200" i="1"/>
  <c r="M198" i="1"/>
  <c r="N198" i="1" s="1"/>
  <c r="K198" i="1"/>
  <c r="L198" i="1" s="1"/>
  <c r="E200" i="1"/>
  <c r="F200" i="1"/>
  <c r="K144" i="1"/>
  <c r="L144" i="1" s="1"/>
  <c r="K194" i="1"/>
  <c r="L194" i="1" s="1"/>
  <c r="M194" i="1"/>
  <c r="N194" i="1" s="1"/>
  <c r="M148" i="1"/>
  <c r="N148" i="1" s="1"/>
  <c r="M144" i="1"/>
  <c r="N144" i="1" s="1"/>
  <c r="E136" i="1"/>
  <c r="F136" i="1"/>
  <c r="K134" i="1"/>
  <c r="L134" i="1" s="1"/>
  <c r="M134" i="1"/>
  <c r="N134" i="1" s="1"/>
  <c r="M110" i="1"/>
  <c r="N110" i="1" s="1"/>
  <c r="K110" i="1"/>
  <c r="L110" i="1" s="1"/>
  <c r="M106" i="1"/>
  <c r="N106" i="1" s="1"/>
  <c r="K106" i="1"/>
  <c r="L106" i="1" s="1"/>
  <c r="M100" i="1"/>
  <c r="N100" i="1" s="1"/>
  <c r="M94" i="1"/>
  <c r="N94" i="1" s="1"/>
  <c r="J96" i="1"/>
  <c r="K94" i="1"/>
  <c r="L94" i="1" s="1"/>
  <c r="F96" i="1"/>
  <c r="E96" i="1"/>
  <c r="J77" i="1"/>
  <c r="E77" i="1"/>
  <c r="F77" i="1"/>
  <c r="M75" i="1"/>
  <c r="N75" i="1" s="1"/>
  <c r="K75" i="1"/>
  <c r="L75" i="1" s="1"/>
  <c r="M69" i="1"/>
  <c r="N69" i="1" s="1"/>
  <c r="K69" i="1"/>
  <c r="L69" i="1" s="1"/>
  <c r="M49" i="1"/>
  <c r="N49" i="1" s="1"/>
  <c r="K65" i="1"/>
  <c r="L65" i="1" s="1"/>
  <c r="M65" i="1"/>
  <c r="N65" i="1" s="1"/>
  <c r="K59" i="1"/>
  <c r="L59" i="1" s="1"/>
  <c r="M59" i="1"/>
  <c r="N59" i="1" s="1"/>
  <c r="M53" i="1"/>
  <c r="N53" i="1" s="1"/>
  <c r="K49" i="1"/>
  <c r="L49" i="1" s="1"/>
  <c r="K53" i="1"/>
  <c r="L53" i="1" s="1"/>
  <c r="M42" i="1"/>
  <c r="N42" i="1" s="1"/>
  <c r="K42" i="1"/>
  <c r="L42" i="1" s="1"/>
  <c r="M40" i="1"/>
  <c r="K40" i="1"/>
  <c r="L40" i="1" s="1"/>
  <c r="F35" i="1"/>
  <c r="F383" i="1" s="1"/>
  <c r="F384" i="1" s="1"/>
  <c r="K33" i="1"/>
  <c r="L33" i="1" s="1"/>
  <c r="M28" i="1"/>
  <c r="N28" i="1" s="1"/>
  <c r="M33" i="1"/>
  <c r="N33" i="1" s="1"/>
  <c r="K15" i="1"/>
  <c r="L15" i="1" s="1"/>
  <c r="M15" i="1"/>
  <c r="N15" i="1" s="1"/>
  <c r="M11" i="1"/>
  <c r="N11" i="1" s="1"/>
  <c r="K11" i="1"/>
  <c r="L11" i="1" s="1"/>
  <c r="J294" i="1"/>
  <c r="J328" i="1" s="1"/>
  <c r="F294" i="1"/>
  <c r="F328" i="1" s="1"/>
  <c r="M292" i="1"/>
  <c r="N292" i="1" s="1"/>
  <c r="K292" i="1"/>
  <c r="L292" i="1" s="1"/>
  <c r="K411" i="1" l="1"/>
  <c r="L411" i="1" s="1"/>
  <c r="G394" i="1"/>
  <c r="K394" i="1"/>
  <c r="L394" i="1" s="1"/>
  <c r="K372" i="1"/>
  <c r="L372" i="1" s="1"/>
  <c r="G420" i="1"/>
  <c r="K402" i="1"/>
  <c r="L402" i="1" s="1"/>
  <c r="K28" i="1"/>
  <c r="L28" i="1" s="1"/>
  <c r="E408" i="1"/>
  <c r="H408" i="1" s="1"/>
  <c r="K353" i="1"/>
  <c r="L353" i="1" s="1"/>
  <c r="G372" i="1"/>
  <c r="G432" i="1"/>
  <c r="K396" i="1"/>
  <c r="L396" i="1" s="1"/>
  <c r="G413" i="1"/>
  <c r="H21" i="1"/>
  <c r="K395" i="1"/>
  <c r="L395" i="1" s="1"/>
  <c r="L432" i="1"/>
  <c r="G388" i="1"/>
  <c r="I367" i="1"/>
  <c r="G392" i="1"/>
  <c r="G421" i="1"/>
  <c r="G406" i="1"/>
  <c r="G453" i="1"/>
  <c r="G396" i="1"/>
  <c r="H236" i="1"/>
  <c r="H379" i="1"/>
  <c r="L349" i="1"/>
  <c r="G424" i="1"/>
  <c r="H189" i="1"/>
  <c r="G425" i="1"/>
  <c r="K388" i="1"/>
  <c r="L388" i="1" s="1"/>
  <c r="M363" i="1"/>
  <c r="N363" i="1" s="1"/>
  <c r="E375" i="1"/>
  <c r="H375" i="1" s="1"/>
  <c r="G427" i="1"/>
  <c r="G353" i="1"/>
  <c r="E434" i="1"/>
  <c r="H434" i="1" s="1"/>
  <c r="H136" i="1"/>
  <c r="G395" i="1"/>
  <c r="H77" i="1"/>
  <c r="K373" i="1"/>
  <c r="L373" i="1" s="1"/>
  <c r="E437" i="1"/>
  <c r="G437" i="1" s="1"/>
  <c r="H207" i="1"/>
  <c r="E383" i="1"/>
  <c r="H35" i="1"/>
  <c r="H96" i="1"/>
  <c r="G433" i="1"/>
  <c r="G349" i="1"/>
  <c r="G414" i="1"/>
  <c r="E403" i="1"/>
  <c r="H402" i="1"/>
  <c r="L374" i="1"/>
  <c r="H374" i="1"/>
  <c r="E387" i="1"/>
  <c r="H42" i="1"/>
  <c r="E328" i="1"/>
  <c r="H328" i="1" s="1"/>
  <c r="H294" i="1"/>
  <c r="E429" i="1"/>
  <c r="H429" i="1" s="1"/>
  <c r="K412" i="1"/>
  <c r="L412" i="1" s="1"/>
  <c r="G397" i="1"/>
  <c r="G373" i="1"/>
  <c r="H345" i="1"/>
  <c r="E416" i="1"/>
  <c r="H416" i="1" s="1"/>
  <c r="G393" i="1"/>
  <c r="G426" i="1"/>
  <c r="H422" i="1"/>
  <c r="E399" i="1"/>
  <c r="H399" i="1" s="1"/>
  <c r="G412" i="1"/>
  <c r="K363" i="1"/>
  <c r="L363" i="1" s="1"/>
  <c r="H363" i="1"/>
  <c r="H200" i="1"/>
  <c r="K349" i="1"/>
  <c r="G398" i="1"/>
  <c r="G415" i="1"/>
  <c r="H415" i="1"/>
  <c r="G444" i="1"/>
  <c r="H444" i="1"/>
  <c r="J367" i="1"/>
  <c r="J248" i="1"/>
  <c r="P373" i="1"/>
  <c r="P375" i="1" s="1"/>
  <c r="P446" i="1" s="1"/>
  <c r="P21" i="1"/>
  <c r="J330" i="1"/>
  <c r="M328" i="1"/>
  <c r="N328" i="1" s="1"/>
  <c r="I446" i="1"/>
  <c r="I455" i="1" s="1"/>
  <c r="M361" i="1"/>
  <c r="N361" i="1" s="1"/>
  <c r="F330" i="1"/>
  <c r="M358" i="1"/>
  <c r="N358" i="1" s="1"/>
  <c r="M375" i="1"/>
  <c r="N375" i="1" s="1"/>
  <c r="K361" i="1"/>
  <c r="L361" i="1" s="1"/>
  <c r="P189" i="1"/>
  <c r="I248" i="1"/>
  <c r="P77" i="1"/>
  <c r="M379" i="1"/>
  <c r="N379" i="1" s="1"/>
  <c r="M349" i="1"/>
  <c r="N349" i="1" s="1"/>
  <c r="F367" i="1"/>
  <c r="M380" i="1"/>
  <c r="N380" i="1" s="1"/>
  <c r="K345" i="1"/>
  <c r="L345" i="1" s="1"/>
  <c r="E367" i="1"/>
  <c r="G363" i="1"/>
  <c r="E380" i="1"/>
  <c r="G379" i="1"/>
  <c r="K379" i="1"/>
  <c r="L379" i="1" s="1"/>
  <c r="L358" i="1"/>
  <c r="K358" i="1"/>
  <c r="G358" i="1"/>
  <c r="G345" i="1"/>
  <c r="M345" i="1"/>
  <c r="N345" i="1" s="1"/>
  <c r="G422" i="1"/>
  <c r="M392" i="1"/>
  <c r="N392" i="1" s="1"/>
  <c r="K392" i="1"/>
  <c r="L392" i="1" s="1"/>
  <c r="M374" i="1"/>
  <c r="N374" i="1" s="1"/>
  <c r="K374" i="1"/>
  <c r="M429" i="1"/>
  <c r="N429" i="1" s="1"/>
  <c r="M398" i="1"/>
  <c r="N398" i="1" s="1"/>
  <c r="K398" i="1"/>
  <c r="L398" i="1" s="1"/>
  <c r="K397" i="1"/>
  <c r="L397" i="1" s="1"/>
  <c r="M397" i="1"/>
  <c r="N397" i="1" s="1"/>
  <c r="M384" i="1"/>
  <c r="N384" i="1" s="1"/>
  <c r="M389" i="1"/>
  <c r="N389" i="1" s="1"/>
  <c r="K413" i="1"/>
  <c r="L413" i="1" s="1"/>
  <c r="M413" i="1"/>
  <c r="N413" i="1" s="1"/>
  <c r="K421" i="1"/>
  <c r="L421" i="1" s="1"/>
  <c r="M421" i="1"/>
  <c r="N421" i="1" s="1"/>
  <c r="F446" i="1"/>
  <c r="F455" i="1" s="1"/>
  <c r="M207" i="1"/>
  <c r="N207" i="1" s="1"/>
  <c r="F258" i="1"/>
  <c r="F248" i="1"/>
  <c r="E248" i="1"/>
  <c r="E258" i="1"/>
  <c r="H258" i="1" s="1"/>
  <c r="G189" i="1"/>
  <c r="G136" i="1"/>
  <c r="G200" i="1"/>
  <c r="G77" i="1"/>
  <c r="G35" i="1"/>
  <c r="G21" i="1"/>
  <c r="G96" i="1"/>
  <c r="G236" i="1"/>
  <c r="G294" i="1"/>
  <c r="K189" i="1"/>
  <c r="L189" i="1" s="1"/>
  <c r="M189" i="1"/>
  <c r="N189" i="1" s="1"/>
  <c r="K236" i="1"/>
  <c r="L236" i="1" s="1"/>
  <c r="M236" i="1"/>
  <c r="N236" i="1" s="1"/>
  <c r="K200" i="1"/>
  <c r="L200" i="1" s="1"/>
  <c r="M200" i="1"/>
  <c r="N200" i="1" s="1"/>
  <c r="K136" i="1"/>
  <c r="L136" i="1" s="1"/>
  <c r="M136" i="1"/>
  <c r="N136" i="1" s="1"/>
  <c r="M96" i="1"/>
  <c r="N96" i="1" s="1"/>
  <c r="K96" i="1"/>
  <c r="L96" i="1" s="1"/>
  <c r="K77" i="1"/>
  <c r="L77" i="1" s="1"/>
  <c r="M77" i="1"/>
  <c r="N77" i="1" s="1"/>
  <c r="M35" i="1"/>
  <c r="N35" i="1" s="1"/>
  <c r="K294" i="1"/>
  <c r="L294" i="1" s="1"/>
  <c r="M294" i="1"/>
  <c r="N294" i="1" s="1"/>
  <c r="M21" i="1"/>
  <c r="N21" i="1" s="1"/>
  <c r="K21" i="1"/>
  <c r="K100" i="1"/>
  <c r="L100" i="1" s="1"/>
  <c r="G408" i="1" l="1"/>
  <c r="G429" i="1"/>
  <c r="G375" i="1"/>
  <c r="K429" i="1"/>
  <c r="L429" i="1" s="1"/>
  <c r="K375" i="1"/>
  <c r="L375" i="1" s="1"/>
  <c r="I457" i="1"/>
  <c r="M367" i="1"/>
  <c r="N367" i="1" s="1"/>
  <c r="K328" i="1"/>
  <c r="L328" i="1" s="1"/>
  <c r="E330" i="1"/>
  <c r="G434" i="1"/>
  <c r="G328" i="1"/>
  <c r="G330" i="1" s="1"/>
  <c r="H367" i="1"/>
  <c r="G380" i="1"/>
  <c r="H380" i="1"/>
  <c r="H387" i="1"/>
  <c r="K387" i="1"/>
  <c r="L387" i="1" s="1"/>
  <c r="E389" i="1"/>
  <c r="G387" i="1"/>
  <c r="E384" i="1"/>
  <c r="H383" i="1"/>
  <c r="G399" i="1"/>
  <c r="H403" i="1"/>
  <c r="G403" i="1"/>
  <c r="E438" i="1"/>
  <c r="K438" i="1" s="1"/>
  <c r="L438" i="1" s="1"/>
  <c r="H437" i="1"/>
  <c r="G416" i="1"/>
  <c r="G383" i="1"/>
  <c r="E254" i="1"/>
  <c r="H248" i="1"/>
  <c r="I273" i="1"/>
  <c r="I254" i="1"/>
  <c r="I260" i="1" s="1"/>
  <c r="F457" i="1"/>
  <c r="F273" i="1"/>
  <c r="F297" i="1" s="1"/>
  <c r="J254" i="1"/>
  <c r="J260" i="1" s="1"/>
  <c r="J250" i="1"/>
  <c r="M248" i="1"/>
  <c r="N248" i="1" s="1"/>
  <c r="J273" i="1"/>
  <c r="J297" i="1" s="1"/>
  <c r="J305" i="1" s="1"/>
  <c r="J314" i="1" s="1"/>
  <c r="J315" i="1" s="1"/>
  <c r="K248" i="1"/>
  <c r="L248" i="1" s="1"/>
  <c r="G367" i="1"/>
  <c r="K367" i="1"/>
  <c r="L367" i="1" s="1"/>
  <c r="F250" i="1"/>
  <c r="K380" i="1"/>
  <c r="L380" i="1" s="1"/>
  <c r="M403" i="1"/>
  <c r="N403" i="1" s="1"/>
  <c r="K403" i="1"/>
  <c r="L403" i="1" s="1"/>
  <c r="M415" i="1"/>
  <c r="K415" i="1"/>
  <c r="M383" i="1"/>
  <c r="N383" i="1" s="1"/>
  <c r="K383" i="1"/>
  <c r="L383" i="1" s="1"/>
  <c r="M406" i="1"/>
  <c r="N406" i="1" s="1"/>
  <c r="K406" i="1"/>
  <c r="L406" i="1" s="1"/>
  <c r="M399" i="1"/>
  <c r="N399" i="1" s="1"/>
  <c r="K399" i="1"/>
  <c r="L399" i="1" s="1"/>
  <c r="M407" i="1"/>
  <c r="N407" i="1" s="1"/>
  <c r="K407" i="1"/>
  <c r="M414" i="1"/>
  <c r="N414" i="1" s="1"/>
  <c r="K414" i="1"/>
  <c r="L414" i="1" s="1"/>
  <c r="M438" i="1"/>
  <c r="N438" i="1" s="1"/>
  <c r="M422" i="1"/>
  <c r="N422" i="1" s="1"/>
  <c r="K422" i="1"/>
  <c r="L422" i="1" s="1"/>
  <c r="K393" i="1"/>
  <c r="L393" i="1" s="1"/>
  <c r="M393" i="1"/>
  <c r="N393" i="1" s="1"/>
  <c r="G257" i="1"/>
  <c r="F254" i="1"/>
  <c r="F260" i="1" s="1"/>
  <c r="G258" i="1"/>
  <c r="E273" i="1"/>
  <c r="E250" i="1"/>
  <c r="G248" i="1"/>
  <c r="L21" i="1"/>
  <c r="J322" i="1" l="1"/>
  <c r="J324" i="1" s="1"/>
  <c r="H254" i="1"/>
  <c r="H384" i="1"/>
  <c r="G384" i="1"/>
  <c r="K384" i="1"/>
  <c r="L384" i="1" s="1"/>
  <c r="H389" i="1"/>
  <c r="K389" i="1"/>
  <c r="L389" i="1" s="1"/>
  <c r="G389" i="1"/>
  <c r="H438" i="1"/>
  <c r="G438" i="1"/>
  <c r="E446" i="1"/>
  <c r="E455" i="1" s="1"/>
  <c r="H455" i="1" s="1"/>
  <c r="E297" i="1"/>
  <c r="H297" i="1" s="1"/>
  <c r="H273" i="1"/>
  <c r="C47" i="5"/>
  <c r="C49" i="5"/>
  <c r="C51" i="5" s="1"/>
  <c r="C57" i="5"/>
  <c r="C59" i="5" s="1"/>
  <c r="C53" i="5"/>
  <c r="C55" i="5" s="1"/>
  <c r="J307" i="1"/>
  <c r="J333" i="1"/>
  <c r="I297" i="1"/>
  <c r="I305" i="1" s="1"/>
  <c r="I307" i="1" s="1"/>
  <c r="I333" i="1"/>
  <c r="I335" i="1" s="1"/>
  <c r="J264" i="1"/>
  <c r="J266" i="1" s="1"/>
  <c r="F264" i="1"/>
  <c r="I264" i="1"/>
  <c r="I266" i="1" s="1"/>
  <c r="J446" i="1"/>
  <c r="J455" i="1" s="1"/>
  <c r="J457" i="1" s="1"/>
  <c r="E333" i="1"/>
  <c r="K273" i="1"/>
  <c r="L273" i="1" s="1"/>
  <c r="J275" i="1"/>
  <c r="M273" i="1"/>
  <c r="N273" i="1" s="1"/>
  <c r="F275" i="1"/>
  <c r="F333" i="1"/>
  <c r="M420" i="1"/>
  <c r="N420" i="1" s="1"/>
  <c r="K420" i="1"/>
  <c r="L420" i="1" s="1"/>
  <c r="M423" i="1"/>
  <c r="N423" i="1" s="1"/>
  <c r="K423" i="1"/>
  <c r="L423" i="1" s="1"/>
  <c r="K426" i="1"/>
  <c r="L426" i="1" s="1"/>
  <c r="M426" i="1"/>
  <c r="N426" i="1" s="1"/>
  <c r="M432" i="1"/>
  <c r="N432" i="1" s="1"/>
  <c r="K432" i="1"/>
  <c r="M424" i="1"/>
  <c r="N424" i="1" s="1"/>
  <c r="K424" i="1"/>
  <c r="L424" i="1" s="1"/>
  <c r="K416" i="1"/>
  <c r="L416" i="1" s="1"/>
  <c r="M416" i="1"/>
  <c r="N416" i="1" s="1"/>
  <c r="M408" i="1"/>
  <c r="N408" i="1" s="1"/>
  <c r="K408" i="1"/>
  <c r="L408" i="1" s="1"/>
  <c r="E275" i="1"/>
  <c r="G273" i="1"/>
  <c r="G254" i="1"/>
  <c r="E260" i="1"/>
  <c r="H260" i="1" s="1"/>
  <c r="G446" i="1" l="1"/>
  <c r="H446" i="1"/>
  <c r="G455" i="1"/>
  <c r="E457" i="1"/>
  <c r="H457" i="1" s="1"/>
  <c r="E335" i="1"/>
  <c r="P254" i="1"/>
  <c r="P452" i="1"/>
  <c r="J335" i="1"/>
  <c r="M333" i="1"/>
  <c r="N333" i="1" s="1"/>
  <c r="K333" i="1"/>
  <c r="L333" i="1" s="1"/>
  <c r="M297" i="1"/>
  <c r="N297" i="1" s="1"/>
  <c r="F335" i="1"/>
  <c r="K437" i="1"/>
  <c r="L437" i="1" s="1"/>
  <c r="M437" i="1"/>
  <c r="N437" i="1" s="1"/>
  <c r="K441" i="1"/>
  <c r="M441" i="1"/>
  <c r="N441" i="1" s="1"/>
  <c r="K425" i="1"/>
  <c r="L425" i="1" s="1"/>
  <c r="M425" i="1"/>
  <c r="N425" i="1" s="1"/>
  <c r="K427" i="1"/>
  <c r="L427" i="1" s="1"/>
  <c r="M427" i="1"/>
  <c r="N427" i="1" s="1"/>
  <c r="K433" i="1"/>
  <c r="L433" i="1" s="1"/>
  <c r="M433" i="1"/>
  <c r="N433" i="1" s="1"/>
  <c r="K451" i="1"/>
  <c r="L451" i="1" s="1"/>
  <c r="M451" i="1"/>
  <c r="N451" i="1" s="1"/>
  <c r="E264" i="1"/>
  <c r="H264" i="1" s="1"/>
  <c r="G260" i="1"/>
  <c r="P288" i="1"/>
  <c r="G457" i="1" l="1"/>
  <c r="G297" i="1"/>
  <c r="K297" i="1"/>
  <c r="L297" i="1" s="1"/>
  <c r="G264" i="1"/>
  <c r="E266" i="1"/>
  <c r="M457" i="1"/>
  <c r="N457" i="1" s="1"/>
  <c r="K457" i="1"/>
  <c r="L457" i="1" s="1"/>
  <c r="K434" i="1"/>
  <c r="L434" i="1" s="1"/>
  <c r="M434" i="1"/>
  <c r="N434" i="1" s="1"/>
  <c r="K444" i="1"/>
  <c r="L444" i="1" s="1"/>
  <c r="M444" i="1"/>
  <c r="N444" i="1" s="1"/>
  <c r="K446" i="1"/>
  <c r="L446" i="1" s="1"/>
  <c r="M446" i="1"/>
  <c r="N446" i="1" s="1"/>
  <c r="K453" i="1"/>
  <c r="L453" i="1" s="1"/>
  <c r="M453" i="1"/>
  <c r="N453" i="1" s="1"/>
  <c r="K455" i="1"/>
  <c r="L455" i="1" s="1"/>
  <c r="M455" i="1"/>
  <c r="N455" i="1" s="1"/>
  <c r="P294" i="1"/>
  <c r="P260" i="1" l="1"/>
  <c r="P264" i="1" l="1"/>
  <c r="P269" i="1" s="1"/>
  <c r="P451" i="1" s="1"/>
  <c r="P453" i="1" s="1"/>
  <c r="P455" i="1" s="1"/>
  <c r="P322" i="1"/>
  <c r="P324" i="1" s="1"/>
  <c r="P271" i="1" l="1"/>
  <c r="P273" i="1" s="1"/>
  <c r="P297" i="1" s="1"/>
  <c r="P305" i="1" l="1"/>
  <c r="P307" i="1" l="1"/>
  <c r="P326" i="1" s="1"/>
  <c r="P328" i="1" s="1"/>
  <c r="P333" i="1" s="1"/>
  <c r="P314" i="1"/>
  <c r="P315" i="1" l="1"/>
  <c r="P319" i="1" s="1"/>
  <c r="P318" i="1"/>
  <c r="P343" i="1"/>
  <c r="P345" i="1" s="1"/>
  <c r="P367" i="1" s="1"/>
  <c r="P4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Garry Lockyer</author>
  </authors>
  <commentList>
    <comment ref="I90" authorId="0" shapeId="0" xr:uid="{92B445E5-8C75-49B8-A66C-70F820C3B43D}">
      <text>
        <r>
          <rPr>
            <b/>
            <sz val="9"/>
            <color indexed="81"/>
            <rFont val="Tahoma"/>
            <charset val="1"/>
          </rPr>
          <t>Garry Lockyer:</t>
        </r>
        <r>
          <rPr>
            <sz val="9"/>
            <color indexed="81"/>
            <rFont val="Tahoma"/>
            <charset val="1"/>
          </rPr>
          <t xml:space="preserve">
Contingency fund?</t>
        </r>
      </text>
    </comment>
    <comment ref="J90" authorId="0" shapeId="0" xr:uid="{61A3EBF5-F712-46BC-9346-0C30281C2D01}">
      <text>
        <r>
          <rPr>
            <b/>
            <sz val="9"/>
            <color indexed="81"/>
            <rFont val="Tahoma"/>
            <charset val="1"/>
          </rPr>
          <t>Garry Lockyer:</t>
        </r>
        <r>
          <rPr>
            <sz val="9"/>
            <color indexed="81"/>
            <rFont val="Tahoma"/>
            <charset val="1"/>
          </rPr>
          <t xml:space="preserve">
Contingency fund?</t>
        </r>
      </text>
    </comment>
    <comment ref="P90" authorId="0" shapeId="0" xr:uid="{39887742-FDA1-4C2E-9438-8CFDBC052E6F}">
      <text>
        <r>
          <rPr>
            <b/>
            <sz val="9"/>
            <color indexed="81"/>
            <rFont val="Tahoma"/>
            <charset val="1"/>
          </rPr>
          <t>Garry Lockyer:</t>
        </r>
        <r>
          <rPr>
            <sz val="9"/>
            <color indexed="81"/>
            <rFont val="Tahoma"/>
            <charset val="1"/>
          </rPr>
          <t xml:space="preserve">
Contingency fund and/or capital?</t>
        </r>
      </text>
    </comment>
    <comment ref="J91" authorId="0" shapeId="0" xr:uid="{CCF494D1-1BA7-423E-A85F-094C3AFD5479}">
      <text>
        <r>
          <rPr>
            <b/>
            <sz val="9"/>
            <color indexed="81"/>
            <rFont val="Tahoma"/>
            <family val="2"/>
          </rPr>
          <t>Garry Lockyer:</t>
        </r>
        <r>
          <rPr>
            <sz val="9"/>
            <color indexed="81"/>
            <rFont val="Tahoma"/>
            <family val="2"/>
          </rPr>
          <t xml:space="preserve">
Contingency fund?</t>
        </r>
      </text>
    </comment>
    <comment ref="P91" authorId="0" shapeId="0" xr:uid="{A69CA2C1-96DA-4129-BED1-C07D8D492EED}">
      <text>
        <r>
          <rPr>
            <b/>
            <sz val="9"/>
            <color indexed="81"/>
            <rFont val="Tahoma"/>
            <charset val="1"/>
          </rPr>
          <t>Garry Lockyer:</t>
        </r>
        <r>
          <rPr>
            <sz val="9"/>
            <color indexed="81"/>
            <rFont val="Tahoma"/>
            <charset val="1"/>
          </rPr>
          <t xml:space="preserve">
Contingency fund and/or capital?
</t>
        </r>
      </text>
    </comment>
    <comment ref="I104" authorId="0" shapeId="0" xr:uid="{0A01C03C-DB64-4479-85E1-737340428137}">
      <text>
        <r>
          <rPr>
            <b/>
            <sz val="9"/>
            <color indexed="81"/>
            <rFont val="Tahoma"/>
            <charset val="1"/>
          </rPr>
          <t>Garry Lockyer:</t>
        </r>
        <r>
          <rPr>
            <sz val="9"/>
            <color indexed="81"/>
            <rFont val="Tahoma"/>
            <charset val="1"/>
          </rPr>
          <t xml:space="preserve">
Really required?</t>
        </r>
      </text>
    </comment>
    <comment ref="J104" authorId="0" shapeId="0" xr:uid="{2966CD86-5694-4644-B6B3-4C1470FD3FE6}">
      <text>
        <r>
          <rPr>
            <b/>
            <sz val="9"/>
            <color indexed="81"/>
            <rFont val="Tahoma"/>
            <charset val="1"/>
          </rPr>
          <t>Garry Lockyer:</t>
        </r>
        <r>
          <rPr>
            <sz val="9"/>
            <color indexed="81"/>
            <rFont val="Tahoma"/>
            <charset val="1"/>
          </rPr>
          <t xml:space="preserve">
Really required?</t>
        </r>
      </text>
    </comment>
    <comment ref="I115" authorId="0" shapeId="0" xr:uid="{85B5717C-02A4-4D6F-BB2B-7ACC23B0F1A3}">
      <text>
        <r>
          <rPr>
            <b/>
            <sz val="9"/>
            <color indexed="81"/>
            <rFont val="Tahoma"/>
            <charset val="1"/>
          </rPr>
          <t>Garry Lockyer:</t>
        </r>
        <r>
          <rPr>
            <sz val="9"/>
            <color indexed="81"/>
            <rFont val="Tahoma"/>
            <charset val="1"/>
          </rPr>
          <t xml:space="preserve">
Why is this unspecified expense not included in "Other"?</t>
        </r>
      </text>
    </comment>
    <comment ref="J115" authorId="0" shapeId="0" xr:uid="{58D0CD3C-91BA-409B-BDC5-224BC81CD8E3}">
      <text>
        <r>
          <rPr>
            <b/>
            <sz val="9"/>
            <color indexed="81"/>
            <rFont val="Tahoma"/>
            <charset val="1"/>
          </rPr>
          <t>Garry Lockyer:</t>
        </r>
        <r>
          <rPr>
            <sz val="9"/>
            <color indexed="81"/>
            <rFont val="Tahoma"/>
            <charset val="1"/>
          </rPr>
          <t xml:space="preserve">
Why is this unspecified expense not included in "Other"?</t>
        </r>
      </text>
    </comment>
    <comment ref="F134" authorId="0" shapeId="0" xr:uid="{39640BC9-E68A-4A74-872E-54B11C423975}">
      <text>
        <r>
          <rPr>
            <b/>
            <sz val="9"/>
            <color indexed="81"/>
            <rFont val="Tahoma"/>
            <charset val="1"/>
          </rPr>
          <t>Garry Lockyer:</t>
        </r>
        <r>
          <rPr>
            <sz val="9"/>
            <color indexed="81"/>
            <rFont val="Tahoma"/>
            <charset val="1"/>
          </rPr>
          <t xml:space="preserve">
Probably includes Freight.
</t>
        </r>
      </text>
    </comment>
    <comment ref="I142" authorId="0" shapeId="0" xr:uid="{A79C20AC-4042-4B45-9197-54659A56019B}">
      <text>
        <r>
          <rPr>
            <b/>
            <sz val="9"/>
            <color indexed="81"/>
            <rFont val="Tahoma"/>
            <family val="2"/>
          </rPr>
          <t>Garry Lockyer:</t>
        </r>
        <r>
          <rPr>
            <sz val="9"/>
            <color indexed="81"/>
            <rFont val="Tahoma"/>
            <family val="2"/>
          </rPr>
          <t xml:space="preserve">
Contingency fund?</t>
        </r>
      </text>
    </comment>
    <comment ref="J142" authorId="0" shapeId="0" xr:uid="{4F79E170-1349-46D8-AA06-0ADEE6B46321}">
      <text>
        <r>
          <rPr>
            <b/>
            <sz val="9"/>
            <color indexed="81"/>
            <rFont val="Tahoma"/>
            <family val="2"/>
          </rPr>
          <t>Garry Lockyer:</t>
        </r>
        <r>
          <rPr>
            <sz val="9"/>
            <color indexed="81"/>
            <rFont val="Tahoma"/>
            <family val="2"/>
          </rPr>
          <t xml:space="preserve">
Contingency fund?</t>
        </r>
      </text>
    </comment>
    <comment ref="P142" authorId="0" shapeId="0" xr:uid="{F0F2ED64-A175-4C84-A8B4-19817A7B5B01}">
      <text>
        <r>
          <rPr>
            <b/>
            <sz val="9"/>
            <color indexed="81"/>
            <rFont val="Tahoma"/>
            <family val="2"/>
          </rPr>
          <t>Garry Lockyer:</t>
        </r>
        <r>
          <rPr>
            <sz val="9"/>
            <color indexed="81"/>
            <rFont val="Tahoma"/>
            <family val="2"/>
          </rPr>
          <t xml:space="preserve">
Contingency fund?</t>
        </r>
      </text>
    </comment>
    <comment ref="I153" authorId="0" shapeId="0" xr:uid="{81D75516-4013-4F4B-A6DC-394B6F180780}">
      <text>
        <r>
          <rPr>
            <b/>
            <sz val="9"/>
            <color indexed="81"/>
            <rFont val="Tahoma"/>
            <charset val="1"/>
          </rPr>
          <t>Garry Lockyer:</t>
        </r>
        <r>
          <rPr>
            <sz val="9"/>
            <color indexed="81"/>
            <rFont val="Tahoma"/>
            <charset val="1"/>
          </rPr>
          <t xml:space="preserve">
Contingency fund?</t>
        </r>
      </text>
    </comment>
    <comment ref="J153" authorId="0" shapeId="0" xr:uid="{F68BCBE7-A1FE-4A9D-B014-85970D5A054F}">
      <text>
        <r>
          <rPr>
            <b/>
            <sz val="9"/>
            <color indexed="81"/>
            <rFont val="Tahoma"/>
            <charset val="1"/>
          </rPr>
          <t>Garry Lockyer:</t>
        </r>
        <r>
          <rPr>
            <sz val="9"/>
            <color indexed="81"/>
            <rFont val="Tahoma"/>
            <charset val="1"/>
          </rPr>
          <t xml:space="preserve">
Contingency fund?</t>
        </r>
      </text>
    </comment>
    <comment ref="P153" authorId="0" shapeId="0" xr:uid="{F9C57890-0E16-4093-A261-8E327D47703C}">
      <text>
        <r>
          <rPr>
            <b/>
            <sz val="9"/>
            <color indexed="81"/>
            <rFont val="Tahoma"/>
            <charset val="1"/>
          </rPr>
          <t>Garry Lockyer:</t>
        </r>
        <r>
          <rPr>
            <sz val="9"/>
            <color indexed="81"/>
            <rFont val="Tahoma"/>
            <charset val="1"/>
          </rPr>
          <t xml:space="preserve">
Contingency fund?</t>
        </r>
      </text>
    </comment>
    <comment ref="I154" authorId="0" shapeId="0" xr:uid="{4816026A-3D57-4AD6-8DF1-851BAD1BF9C0}">
      <text>
        <r>
          <rPr>
            <b/>
            <sz val="9"/>
            <color indexed="81"/>
            <rFont val="Tahoma"/>
            <charset val="1"/>
          </rPr>
          <t>Garry Lockyer:</t>
        </r>
        <r>
          <rPr>
            <sz val="9"/>
            <color indexed="81"/>
            <rFont val="Tahoma"/>
            <charset val="1"/>
          </rPr>
          <t xml:space="preserve">
Should be capital expense.</t>
        </r>
      </text>
    </comment>
    <comment ref="J154" authorId="0" shapeId="0" xr:uid="{FC9D3606-7292-4CE6-847A-F5754B796722}">
      <text>
        <r>
          <rPr>
            <b/>
            <sz val="9"/>
            <color indexed="81"/>
            <rFont val="Tahoma"/>
            <charset val="1"/>
          </rPr>
          <t>Garry Lockyer:</t>
        </r>
        <r>
          <rPr>
            <sz val="9"/>
            <color indexed="81"/>
            <rFont val="Tahoma"/>
            <charset val="1"/>
          </rPr>
          <t xml:space="preserve">
Should be capital expense.</t>
        </r>
      </text>
    </comment>
    <comment ref="P154" authorId="0" shapeId="0" xr:uid="{72988555-D681-4B75-AFDE-32123070CD58}">
      <text>
        <r>
          <rPr>
            <b/>
            <sz val="9"/>
            <color indexed="81"/>
            <rFont val="Tahoma"/>
            <charset val="1"/>
          </rPr>
          <t>Garry Lockyer:</t>
        </r>
        <r>
          <rPr>
            <sz val="9"/>
            <color indexed="81"/>
            <rFont val="Tahoma"/>
            <charset val="1"/>
          </rPr>
          <t xml:space="preserve">
Should be capital expense.</t>
        </r>
      </text>
    </comment>
    <comment ref="F166" authorId="0" shapeId="0" xr:uid="{CCD528DD-FF5F-476B-A042-6EEFD222F826}">
      <text>
        <r>
          <rPr>
            <b/>
            <sz val="9"/>
            <color indexed="81"/>
            <rFont val="Tahoma"/>
            <charset val="1"/>
          </rPr>
          <t>Garry Lockyer:</t>
        </r>
        <r>
          <rPr>
            <sz val="9"/>
            <color indexed="81"/>
            <rFont val="Tahoma"/>
            <charset val="1"/>
          </rPr>
          <t xml:space="preserve">
Probably in Other in Water &amp; Sewer Plant R&amp;M.
</t>
        </r>
      </text>
    </comment>
    <comment ref="I204" authorId="0" shapeId="0" xr:uid="{8D8B8A10-57E9-4C4B-BEE7-439AB81A391D}">
      <text>
        <r>
          <rPr>
            <b/>
            <sz val="9"/>
            <color indexed="81"/>
            <rFont val="Tahoma"/>
            <charset val="1"/>
          </rPr>
          <t>Garry Lockyer:</t>
        </r>
        <r>
          <rPr>
            <sz val="9"/>
            <color indexed="81"/>
            <rFont val="Tahoma"/>
            <charset val="1"/>
          </rPr>
          <t xml:space="preserve">
What is this based on?  Has OIB signalled a major change?</t>
        </r>
      </text>
    </comment>
    <comment ref="J204" authorId="0" shapeId="0" xr:uid="{06F0847B-313E-45E8-BA3C-5F9CA5FECFE1}">
      <text>
        <r>
          <rPr>
            <b/>
            <sz val="9"/>
            <color indexed="81"/>
            <rFont val="Tahoma"/>
            <charset val="1"/>
          </rPr>
          <t>Garry Lockyer:</t>
        </r>
        <r>
          <rPr>
            <sz val="9"/>
            <color indexed="81"/>
            <rFont val="Tahoma"/>
            <charset val="1"/>
          </rPr>
          <t xml:space="preserve">
What is this based on?  Has OIB signalled a major change?</t>
        </r>
      </text>
    </comment>
    <comment ref="P204" authorId="0" shapeId="0" xr:uid="{6D7D4AC6-AF39-47BA-8DCA-A8345F5335C5}">
      <text>
        <r>
          <rPr>
            <b/>
            <sz val="9"/>
            <color indexed="81"/>
            <rFont val="Tahoma"/>
            <charset val="1"/>
          </rPr>
          <t>Garry Lockyer:</t>
        </r>
        <r>
          <rPr>
            <sz val="9"/>
            <color indexed="81"/>
            <rFont val="Tahoma"/>
            <charset val="1"/>
          </rPr>
          <t xml:space="preserve">
What is this based on?  Has OIB signalled a major change?</t>
        </r>
      </text>
    </comment>
    <comment ref="C238" authorId="0" shapeId="0" xr:uid="{600768B4-A6C2-471B-BE06-D6C2575D8823}">
      <text>
        <r>
          <rPr>
            <b/>
            <sz val="9"/>
            <color indexed="81"/>
            <rFont val="Tahoma"/>
            <charset val="1"/>
          </rPr>
          <t>Garry Lockyer:</t>
        </r>
        <r>
          <rPr>
            <sz val="9"/>
            <color indexed="81"/>
            <rFont val="Tahoma"/>
            <charset val="1"/>
          </rPr>
          <t xml:space="preserve">
Not in FY2021 Budget.
</t>
        </r>
      </text>
    </comment>
    <comment ref="C240" authorId="0" shapeId="0" xr:uid="{60578019-7D6C-4B96-BB8D-B60B155C2435}">
      <text>
        <r>
          <rPr>
            <b/>
            <sz val="9"/>
            <color indexed="81"/>
            <rFont val="Tahoma"/>
            <charset val="1"/>
          </rPr>
          <t>Garry Lockyer:</t>
        </r>
        <r>
          <rPr>
            <sz val="9"/>
            <color indexed="81"/>
            <rFont val="Tahoma"/>
            <charset val="1"/>
          </rPr>
          <t xml:space="preserve">
Not in FY2021 Budget.
</t>
        </r>
      </text>
    </comment>
    <comment ref="I299" authorId="0" shapeId="0" xr:uid="{C6FDF289-F121-4A38-9DC0-317CCF2BD138}">
      <text>
        <r>
          <rPr>
            <b/>
            <sz val="9"/>
            <color indexed="81"/>
            <rFont val="Tahoma"/>
            <charset val="1"/>
          </rPr>
          <t>Garry Lockyer:</t>
        </r>
        <r>
          <rPr>
            <sz val="9"/>
            <color indexed="81"/>
            <rFont val="Tahoma"/>
            <charset val="1"/>
          </rPr>
          <t xml:space="preserve">
Reverse engineered from Associa Fees: 46,440 / 15 per month / 12 months per year = 258.
</t>
        </r>
      </text>
    </comment>
    <comment ref="J299" authorId="0" shapeId="0" xr:uid="{661E431D-3346-4E31-BB0A-4CBDB26C2FB5}">
      <text>
        <r>
          <rPr>
            <b/>
            <sz val="9"/>
            <color indexed="81"/>
            <rFont val="Tahoma"/>
            <charset val="1"/>
          </rPr>
          <t>Garry Lockyer:</t>
        </r>
        <r>
          <rPr>
            <sz val="9"/>
            <color indexed="81"/>
            <rFont val="Tahoma"/>
            <charset val="1"/>
          </rPr>
          <t xml:space="preserve">
Reverse engineered from Associa Fees: 46,440 / 15 per month / 12 months per year = 258.
</t>
        </r>
      </text>
    </comment>
    <comment ref="P299" authorId="0" shapeId="0" xr:uid="{C17B8567-B814-4B75-A0E9-C232949E756F}">
      <text>
        <r>
          <rPr>
            <b/>
            <sz val="9"/>
            <color indexed="81"/>
            <rFont val="Tahoma"/>
            <charset val="1"/>
          </rPr>
          <t>Garry Lockyer:</t>
        </r>
        <r>
          <rPr>
            <sz val="9"/>
            <color indexed="81"/>
            <rFont val="Tahoma"/>
            <charset val="1"/>
          </rPr>
          <t xml:space="preserve">
Reverse engineered from Associa Fees: 46,440 / 15 per month / 12 months per year = 258.
</t>
        </r>
      </text>
    </comment>
    <comment ref="J326" authorId="0" shapeId="0" xr:uid="{2898A20E-79AE-4D62-892D-4C8BAE3E8E47}">
      <text>
        <r>
          <rPr>
            <b/>
            <sz val="9"/>
            <color indexed="81"/>
            <rFont val="Tahoma"/>
            <charset val="1"/>
          </rPr>
          <t>Garry Lockyer:</t>
        </r>
        <r>
          <rPr>
            <sz val="9"/>
            <color indexed="81"/>
            <rFont val="Tahoma"/>
            <charset val="1"/>
          </rPr>
          <t xml:space="preserve">
This is "hard coded" to match proposed budget.  It does not use above fee calculation.</t>
        </r>
      </text>
    </comment>
    <comment ref="P326" authorId="0" shapeId="0" xr:uid="{365B31AB-0982-48B9-9867-FB8498C9FB02}">
      <text>
        <r>
          <rPr>
            <b/>
            <sz val="9"/>
            <color indexed="81"/>
            <rFont val="Tahoma"/>
            <charset val="1"/>
          </rPr>
          <t>Garry Lockyer:</t>
        </r>
        <r>
          <rPr>
            <sz val="9"/>
            <color indexed="81"/>
            <rFont val="Tahoma"/>
            <charset val="1"/>
          </rPr>
          <t xml:space="preserve">
This uses the above fee calculation.  Changes above will flow into the budget below.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Garry Lockyer</author>
  </authors>
  <commentList>
    <comment ref="D9" authorId="0" shapeId="0" xr:uid="{5505DAEB-9376-420A-AE36-071236D82B05}">
      <text>
        <r>
          <rPr>
            <b/>
            <sz val="9"/>
            <color indexed="81"/>
            <rFont val="Tahoma"/>
            <charset val="1"/>
          </rPr>
          <t>Garry Lockyer:</t>
        </r>
        <r>
          <rPr>
            <sz val="9"/>
            <color indexed="81"/>
            <rFont val="Tahoma"/>
            <charset val="1"/>
          </rPr>
          <t xml:space="preserve">
From 2021 SHC AGM package.</t>
        </r>
      </text>
    </comment>
    <comment ref="D10" authorId="0" shapeId="0" xr:uid="{6566ED41-BFFD-4D34-857B-856731B4FAAC}">
      <text>
        <r>
          <rPr>
            <b/>
            <sz val="9"/>
            <color indexed="81"/>
            <rFont val="Tahoma"/>
            <charset val="1"/>
          </rPr>
          <t>Garry Lockyer:</t>
        </r>
        <r>
          <rPr>
            <sz val="9"/>
            <color indexed="81"/>
            <rFont val="Tahoma"/>
            <charset val="1"/>
          </rPr>
          <t xml:space="preserve">
From FY2022 Preliminary Budget.</t>
        </r>
      </text>
    </comment>
    <comment ref="D11" authorId="0" shapeId="0" xr:uid="{781E2FE1-D833-4D6F-AE0A-60B7B99FDD19}">
      <text>
        <r>
          <rPr>
            <b/>
            <sz val="9"/>
            <color indexed="81"/>
            <rFont val="Tahoma"/>
            <charset val="1"/>
          </rPr>
          <t>Garry Lockyer:</t>
        </r>
        <r>
          <rPr>
            <sz val="9"/>
            <color indexed="81"/>
            <rFont val="Tahoma"/>
            <charset val="1"/>
          </rPr>
          <t xml:space="preserve">
From 2021 AGM p
ackage.</t>
        </r>
      </text>
    </comment>
    <comment ref="C12" authorId="0" shapeId="0" xr:uid="{1BE3FDD8-A83C-439E-ADFB-6E707B0F9919}">
      <text>
        <r>
          <rPr>
            <b/>
            <sz val="9"/>
            <color indexed="81"/>
            <rFont val="Tahoma"/>
            <charset val="1"/>
          </rPr>
          <t>Garry Lockyer:</t>
        </r>
        <r>
          <rPr>
            <sz val="9"/>
            <color indexed="81"/>
            <rFont val="Tahoma"/>
            <charset val="1"/>
          </rPr>
          <t xml:space="preserve">
Calculated to total to equal "Current Year Additions to Contingency Fund" for 2022 Proposed Budget.</t>
        </r>
      </text>
    </comment>
    <comment ref="D12" authorId="0" shapeId="0" xr:uid="{4A128E13-EBD3-43B0-8590-B80CE049364C}">
      <text>
        <r>
          <rPr>
            <b/>
            <sz val="9"/>
            <color indexed="81"/>
            <rFont val="Tahoma"/>
            <charset val="1"/>
          </rPr>
          <t>Garry Lockyer:</t>
        </r>
        <r>
          <rPr>
            <sz val="9"/>
            <color indexed="81"/>
            <rFont val="Tahoma"/>
            <charset val="1"/>
          </rPr>
          <t xml:space="preserve">
Calculated to total to equal "Current Year Additions to Contingency Fund."</t>
        </r>
      </text>
    </comment>
    <comment ref="D13" authorId="0" shapeId="0" xr:uid="{A4532B7E-D681-45EC-81C5-919A59B9CFFA}">
      <text>
        <r>
          <rPr>
            <b/>
            <sz val="9"/>
            <color indexed="81"/>
            <rFont val="Tahoma"/>
            <charset val="1"/>
          </rPr>
          <t>Garry Lockyer:</t>
        </r>
        <r>
          <rPr>
            <sz val="9"/>
            <color indexed="81"/>
            <rFont val="Tahoma"/>
            <charset val="1"/>
          </rPr>
          <t xml:space="preserve">
2021 AGM package says "101171+745 = </t>
        </r>
      </text>
    </comment>
    <comment ref="B16" authorId="0" shapeId="0" xr:uid="{9E68E0EC-B75E-49A8-8970-53BAAB42EC21}">
      <text>
        <r>
          <rPr>
            <b/>
            <sz val="9"/>
            <color indexed="81"/>
            <rFont val="Tahoma"/>
            <family val="2"/>
          </rPr>
          <t>Garry Lockyer:</t>
        </r>
        <r>
          <rPr>
            <sz val="9"/>
            <color indexed="81"/>
            <rFont val="Tahoma"/>
            <family val="2"/>
          </rPr>
          <t xml:space="preserve">
Probably pumps.</t>
        </r>
      </text>
    </comment>
    <comment ref="E16" authorId="0" shapeId="0" xr:uid="{80E757EF-8823-4C07-A695-A0C3E926DA61}">
      <text>
        <r>
          <rPr>
            <b/>
            <sz val="9"/>
            <color indexed="81"/>
            <rFont val="Tahoma"/>
            <family val="2"/>
          </rPr>
          <t>Garry Lockyer:</t>
        </r>
        <r>
          <rPr>
            <sz val="9"/>
            <color indexed="81"/>
            <rFont val="Tahoma"/>
            <family val="2"/>
          </rPr>
          <t xml:space="preserve">
Should itemize.</t>
        </r>
      </text>
    </comment>
    <comment ref="B17" authorId="0" shapeId="0" xr:uid="{A8ED886A-B47E-428C-AFFA-0F3063AA3C8A}">
      <text>
        <r>
          <rPr>
            <b/>
            <sz val="9"/>
            <color indexed="81"/>
            <rFont val="Tahoma"/>
            <charset val="1"/>
          </rPr>
          <t>Garry Lockyer:</t>
        </r>
        <r>
          <rPr>
            <sz val="9"/>
            <color indexed="81"/>
            <rFont val="Tahoma"/>
            <charset val="1"/>
          </rPr>
          <t xml:space="preserve">
No trace of withdraws in FY2021.
</t>
        </r>
      </text>
    </comment>
    <comment ref="B18" authorId="0" shapeId="0" xr:uid="{445AFC64-1B8D-4883-B13A-A5528C4D0930}">
      <text>
        <r>
          <rPr>
            <b/>
            <sz val="9"/>
            <color indexed="81"/>
            <rFont val="Tahoma"/>
            <charset val="1"/>
          </rPr>
          <t>Garry Lockyer:</t>
        </r>
        <r>
          <rPr>
            <sz val="9"/>
            <color indexed="81"/>
            <rFont val="Tahoma"/>
            <charset val="1"/>
          </rPr>
          <t xml:space="preserve">
From 2021 AGM package.</t>
        </r>
      </text>
    </comment>
  </commentList>
</comments>
</file>

<file path=xl/sharedStrings.xml><?xml version="1.0" encoding="utf-8"?>
<sst xmlns="http://schemas.openxmlformats.org/spreadsheetml/2006/main" count="494" uniqueCount="435">
  <si>
    <t>Operating Budget</t>
  </si>
  <si>
    <t>Group</t>
  </si>
  <si>
    <t>GL Account</t>
  </si>
  <si>
    <t>GL Description</t>
  </si>
  <si>
    <t>FY2021 Budget-Actual</t>
  </si>
  <si>
    <t>Increase Over Prior Budget</t>
  </si>
  <si>
    <t>Increase Over Prior Actual</t>
  </si>
  <si>
    <t>Management Fees</t>
  </si>
  <si>
    <t>Note</t>
  </si>
  <si>
    <t>% Increase Over Prior Budget</t>
  </si>
  <si>
    <t>Clubhouse Rental</t>
  </si>
  <si>
    <t>Kayak Rack Income</t>
  </si>
  <si>
    <t>Fines / Liens &amp; Interest</t>
  </si>
  <si>
    <t>Key Revenue</t>
  </si>
  <si>
    <t>Social Club Recycling Shed Revenue</t>
  </si>
  <si>
    <t>Interest</t>
  </si>
  <si>
    <t>Miscellaneous</t>
  </si>
  <si>
    <t>Unit Type</t>
  </si>
  <si>
    <t>Meadows / Hillside</t>
  </si>
  <si>
    <t>Lakefront</t>
  </si>
  <si>
    <t>FY2017</t>
  </si>
  <si>
    <t>FY2018</t>
  </si>
  <si>
    <t>FY2019</t>
  </si>
  <si>
    <t>FY2020</t>
  </si>
  <si>
    <t>FY2021</t>
  </si>
  <si>
    <t>FY2022</t>
  </si>
  <si>
    <t>FY2023</t>
  </si>
  <si>
    <t>FY2024</t>
  </si>
  <si>
    <t>Budget Units</t>
  </si>
  <si>
    <t>Completion</t>
  </si>
  <si>
    <t>From Budgets</t>
  </si>
  <si>
    <t>Monthly Maintenance Fees</t>
  </si>
  <si>
    <t>Fees Per Month (Meadows / Hillside)</t>
  </si>
  <si>
    <t>Budget Units - $ / Year</t>
  </si>
  <si>
    <t>Boat Slip Income</t>
  </si>
  <si>
    <t>Boat Slip Interest</t>
  </si>
  <si>
    <t>14 Boat Slip Revenue Total</t>
  </si>
  <si>
    <t>Revenue Total</t>
  </si>
  <si>
    <t>Accounting / Administration</t>
  </si>
  <si>
    <t>Office Supplies</t>
  </si>
  <si>
    <t>Business Computer Program Suite</t>
  </si>
  <si>
    <t>Email Storage</t>
  </si>
  <si>
    <t>EPC Committee 10 Vests</t>
  </si>
  <si>
    <t>EPC Committee Radios</t>
  </si>
  <si>
    <t>Audit &amp; Tax Filing</t>
  </si>
  <si>
    <t>Accounting / Administration Total</t>
  </si>
  <si>
    <t>Bank Charges</t>
  </si>
  <si>
    <t>Bank Charges Total</t>
  </si>
  <si>
    <t>HSC Bank Charges</t>
  </si>
  <si>
    <t>2 Administrative</t>
  </si>
  <si>
    <t>2 Administrative Total</t>
  </si>
  <si>
    <t>Transfer From Operating Surplus</t>
  </si>
  <si>
    <t>3 Communications</t>
  </si>
  <si>
    <t>Social Club Events</t>
  </si>
  <si>
    <t>Postage &amp; Copies</t>
  </si>
  <si>
    <t>4 Payroll and Benefits</t>
  </si>
  <si>
    <t>SHC Staff</t>
  </si>
  <si>
    <t>Existing Employee Costs</t>
  </si>
  <si>
    <t>Proposed Additions, Janitor / PT Bylaw</t>
  </si>
  <si>
    <t>SHC Staff Total</t>
  </si>
  <si>
    <t>3 Communications Total</t>
  </si>
  <si>
    <t>5 Insurance</t>
  </si>
  <si>
    <t>Insurance</t>
  </si>
  <si>
    <t>Additional For Wheel / Loader</t>
  </si>
  <si>
    <t>HUB Insurance</t>
  </si>
  <si>
    <t>Insurance Total</t>
  </si>
  <si>
    <t>5 Insurance Total</t>
  </si>
  <si>
    <t>6 Utilities</t>
  </si>
  <si>
    <t>Garbage &amp; Recycling</t>
  </si>
  <si>
    <t>Waste Connections of Canada - Recycle 1</t>
  </si>
  <si>
    <t>Waste Connections of Canada - Recycle 2</t>
  </si>
  <si>
    <t>Waste Connections of Canada - RO Sump &amp; Return</t>
  </si>
  <si>
    <t>Waste Connections of Canada</t>
  </si>
  <si>
    <t>Garbage &amp; Recycling Total</t>
  </si>
  <si>
    <t>Garbage &amp; Recycling Compactor Lease</t>
  </si>
  <si>
    <t>Meridian Onecap Credit Corp</t>
  </si>
  <si>
    <t>Garbage &amp; Recycling Compactor Lease Total</t>
  </si>
  <si>
    <t>Electricity</t>
  </si>
  <si>
    <t>Account 135… (Community Centre)</t>
  </si>
  <si>
    <t>Account 601… (Service Building)</t>
  </si>
  <si>
    <t>Account 851… (Irrigation)</t>
  </si>
  <si>
    <t>Electricity Total</t>
  </si>
  <si>
    <t>Water &amp; Sewer Plant Chemicals</t>
  </si>
  <si>
    <t>Cleartech</t>
  </si>
  <si>
    <t>Stelkia Construction</t>
  </si>
  <si>
    <t>Water &amp; Sewer Plant Chemicals Total</t>
  </si>
  <si>
    <t>Propane</t>
  </si>
  <si>
    <t>A&amp;A Propane</t>
  </si>
  <si>
    <t>Propane Total</t>
  </si>
  <si>
    <t>Phone &amp; Internet</t>
  </si>
  <si>
    <t>Telus</t>
  </si>
  <si>
    <t>Telus Mobility</t>
  </si>
  <si>
    <t>TCOOL Carrell Clarke)</t>
  </si>
  <si>
    <t>Phone &amp; Internet Total</t>
  </si>
  <si>
    <t>6 Utilities Total</t>
  </si>
  <si>
    <t>7 Landscaping</t>
  </si>
  <si>
    <t>Landscaping</t>
  </si>
  <si>
    <t>Greenscape Landscaping Ltd</t>
  </si>
  <si>
    <t>Monthly</t>
  </si>
  <si>
    <t>6 Hanging Baskets</t>
  </si>
  <si>
    <t>2 Floral Containers</t>
  </si>
  <si>
    <t>Garden Stakes</t>
  </si>
  <si>
    <t>2 Orange Spray paint</t>
  </si>
  <si>
    <t>4 Barrels for Main Entrance</t>
  </si>
  <si>
    <t>Floral for Barrells</t>
  </si>
  <si>
    <t>Riparian Area</t>
  </si>
  <si>
    <t>Annual plant replacement</t>
  </si>
  <si>
    <t>Irrigation Laptop</t>
  </si>
  <si>
    <t>Sentinel Control Box</t>
  </si>
  <si>
    <t>Sentinel Power Supply X 2</t>
  </si>
  <si>
    <t>Lower grass from #157 along walkway</t>
  </si>
  <si>
    <t>Other - Misc</t>
  </si>
  <si>
    <t>Landscaping Total</t>
  </si>
  <si>
    <t>8 Contracted Services</t>
  </si>
  <si>
    <t>Janitorial</t>
  </si>
  <si>
    <t>General Cleaning Supplies</t>
  </si>
  <si>
    <t>Security</t>
  </si>
  <si>
    <t>Quail Security - Community</t>
  </si>
  <si>
    <t>Quail Security - Pool</t>
  </si>
  <si>
    <t>Quail Security - Clubhouse</t>
  </si>
  <si>
    <t>Security Total</t>
  </si>
  <si>
    <t>Water &amp; Sewer Plant Management</t>
  </si>
  <si>
    <t>Waste Water Management company</t>
  </si>
  <si>
    <t>Water &amp; Sewer Plant Management Total</t>
  </si>
  <si>
    <t>Water &amp; Sewer Plant R&amp;M</t>
  </si>
  <si>
    <t xml:space="preserve">Pump Fund Transfer </t>
  </si>
  <si>
    <t>BC Air Filter</t>
  </si>
  <si>
    <t>BMO Bank of Montreal (CC)</t>
  </si>
  <si>
    <t>Caro Analytical Services - Richmond</t>
  </si>
  <si>
    <t>Centrix Control Solutions</t>
  </si>
  <si>
    <t>Darlorn Septic Services Ltd</t>
  </si>
  <si>
    <t>Hach Sales &amp; Services Canada LP</t>
  </si>
  <si>
    <t>Ramtech Environment Products</t>
  </si>
  <si>
    <t>Suck It Up Environmental</t>
  </si>
  <si>
    <t>Skeans</t>
  </si>
  <si>
    <t>Membranes</t>
  </si>
  <si>
    <t>Sewer Cleaning</t>
  </si>
  <si>
    <t>Reservoir Cleaning</t>
  </si>
  <si>
    <t>Drum Lifter</t>
  </si>
  <si>
    <t>Box for Clubhouse Cart</t>
  </si>
  <si>
    <t>WWTP Computer</t>
  </si>
  <si>
    <t>Fuel</t>
  </si>
  <si>
    <t>Other</t>
  </si>
  <si>
    <t>Water &amp; Sewer Plant R&amp;M Total</t>
  </si>
  <si>
    <t>Cleartech Industries Inc.</t>
  </si>
  <si>
    <t>8 Contracted Services Total</t>
  </si>
  <si>
    <t>9 Repairs &amp; Maintenance</t>
  </si>
  <si>
    <t>Clubhouse R&amp;M</t>
  </si>
  <si>
    <t>HVAC Service</t>
  </si>
  <si>
    <t>Outside Shower Siding Protector</t>
  </si>
  <si>
    <t>Refinish exterior wood</t>
  </si>
  <si>
    <t>Various</t>
  </si>
  <si>
    <t>Clubhouse R&amp;M Total</t>
  </si>
  <si>
    <t>Hydrant Testing</t>
  </si>
  <si>
    <t>Hydrant Testing Total</t>
  </si>
  <si>
    <t>10 Professional Services</t>
  </si>
  <si>
    <t>Legal Fees</t>
  </si>
  <si>
    <t>Misc</t>
  </si>
  <si>
    <t>Legal Fees Total</t>
  </si>
  <si>
    <t>Associa BC</t>
  </si>
  <si>
    <t>Management Fees Total</t>
  </si>
  <si>
    <t>10 Professional Services Total</t>
  </si>
  <si>
    <t>11 Property Taxes</t>
  </si>
  <si>
    <t>Property Taxes</t>
  </si>
  <si>
    <t>Osoyoos Indian Band Taxation</t>
  </si>
  <si>
    <t>11 Property Taxes Total</t>
  </si>
  <si>
    <t>12 Reserves</t>
  </si>
  <si>
    <t>Social Club Transfer</t>
  </si>
  <si>
    <t>CRF Transfer</t>
  </si>
  <si>
    <t>12 Reserves Total</t>
  </si>
  <si>
    <t>15 Boat Slip Repairs &amp; Maintenance</t>
  </si>
  <si>
    <t>Boat Slip Maintenance</t>
  </si>
  <si>
    <t>Replacement Flying Hawks</t>
  </si>
  <si>
    <t>Reflective Waterfowl Scare Tape</t>
  </si>
  <si>
    <t>Marina Concreate Sealant</t>
  </si>
  <si>
    <t>Deicer Bubbler</t>
  </si>
  <si>
    <t>Bird Deterrent</t>
  </si>
  <si>
    <t>Signs - Fishing Area &amp; Emergency Line</t>
  </si>
  <si>
    <t>Three new buoys</t>
  </si>
  <si>
    <t>Gate lock and closer</t>
  </si>
  <si>
    <t>Other - Various</t>
  </si>
  <si>
    <t>Boat Slip Maintenance Total</t>
  </si>
  <si>
    <t>Boat Slip Electricity</t>
  </si>
  <si>
    <t>Account 820… (Marina)</t>
  </si>
  <si>
    <t>Boat Slip Electricity Total</t>
  </si>
  <si>
    <t>Boat Slip Insurance</t>
  </si>
  <si>
    <t>Boat Slip Insurance Total</t>
  </si>
  <si>
    <t>Boat Slip Taxes &amp; Lease</t>
  </si>
  <si>
    <t>Ministry of Finance Rent</t>
  </si>
  <si>
    <t>Ministry of Finance Property Taxes</t>
  </si>
  <si>
    <t>Boat Slip Taxes &amp; Lease Total</t>
  </si>
  <si>
    <t>Boat Slip Fund Allocation</t>
  </si>
  <si>
    <t>Boat Slip Total</t>
  </si>
  <si>
    <t>9 Repairs &amp; Maintenance Total</t>
  </si>
  <si>
    <t>Depreciation Report</t>
  </si>
  <si>
    <t>General Repairs &amp; Maintenance</t>
  </si>
  <si>
    <t>Stain &amp; Seal Cedar Fence (assuming Janitor hired)</t>
  </si>
  <si>
    <t>Posts for Cedar Fence (assuming Janitor hired)</t>
  </si>
  <si>
    <t>Replace Fence by volleyball court</t>
  </si>
  <si>
    <t>Flashing speed limit sign</t>
  </si>
  <si>
    <t>General Repairs &amp; Maintenance Total</t>
  </si>
  <si>
    <t>Snow Removal</t>
  </si>
  <si>
    <t>Snow Removal Total</t>
  </si>
  <si>
    <t>New</t>
  </si>
  <si>
    <t>Freight</t>
  </si>
  <si>
    <t>1012403 B.C. Ltd</t>
  </si>
  <si>
    <t>Freight Total</t>
  </si>
  <si>
    <t>A.C.E. Courier Services</t>
  </si>
  <si>
    <t>Pool/Hot Tub - Supplies</t>
  </si>
  <si>
    <t>Deckside Pool &amp; Spa Ltd.</t>
  </si>
  <si>
    <t>Pool/Hot Tub - Supplies Total</t>
  </si>
  <si>
    <t>Pool/Hot Tub - R&amp;M</t>
  </si>
  <si>
    <t>Technical Safety BC</t>
  </si>
  <si>
    <t>Deckside Pool &amp; Spa Ltd</t>
  </si>
  <si>
    <t>Training for Pool Certifications</t>
  </si>
  <si>
    <t>Prepose Pool security/testing/cleaning</t>
  </si>
  <si>
    <t>Pool/Hot Tub - R&amp;M Total</t>
  </si>
  <si>
    <t>Contingency</t>
  </si>
  <si>
    <t>Swim Dock &amp; Rec Area R&amp;M</t>
  </si>
  <si>
    <t>Beach Grooming</t>
  </si>
  <si>
    <t>Milfoil Removal</t>
  </si>
  <si>
    <t>Buoys for lines</t>
  </si>
  <si>
    <t>Misc Supplies</t>
  </si>
  <si>
    <t>Swim Dock &amp; Rec Area R&amp;M Total</t>
  </si>
  <si>
    <t>% Increase Over Prior Actual</t>
  </si>
  <si>
    <t>Improvements</t>
  </si>
  <si>
    <t>FY2022 Preliminary Budget</t>
  </si>
  <si>
    <t>FY2022 Proposed Budget</t>
  </si>
  <si>
    <t>Accounting For Contingency Fund Contribution</t>
  </si>
  <si>
    <t>Boat Slip Expenses</t>
  </si>
  <si>
    <t>Contingency Fund Transfer Rate</t>
  </si>
  <si>
    <t>Amortization / Depreciation</t>
  </si>
  <si>
    <t>Social Committee Fund Allocation</t>
  </si>
  <si>
    <t>Postage &amp; Copies Total</t>
  </si>
  <si>
    <t>Janitorial Total</t>
  </si>
  <si>
    <t>Osoyoos Indian Band Taxation Total</t>
  </si>
  <si>
    <t>Surplus / Deficit From Previous Year</t>
  </si>
  <si>
    <t>Boat Slip Revenue</t>
  </si>
  <si>
    <t>Meadow / Lakeview Homes</t>
  </si>
  <si>
    <t>Lakefront Homes</t>
  </si>
  <si>
    <t>Total Homes Closed</t>
  </si>
  <si>
    <t>Monthly Fee / Budgetery Unit</t>
  </si>
  <si>
    <t>Revenue Check</t>
  </si>
  <si>
    <t>Garry's FY2022 Fantasy Budget</t>
  </si>
  <si>
    <t>V0.5</t>
  </si>
  <si>
    <t>Reorganized to present expenses in detail (FY21 Preliminary Bugdget format), in FY21 AGM format and to eliminate circular calculation of Monthly Maintenance Fees.</t>
  </si>
  <si>
    <t>Expenses Total (Calculated)</t>
  </si>
  <si>
    <t>Expenses Total (Published)</t>
  </si>
  <si>
    <t>Delta (Calculated v Published)</t>
  </si>
  <si>
    <t>Expenses Sub-Total (Published)</t>
  </si>
  <si>
    <t>Other Revenue</t>
  </si>
  <si>
    <t>Other Revenue - Non Boat Slip</t>
  </si>
  <si>
    <t>Other Revenue Total</t>
  </si>
  <si>
    <t>Monthly Fees To Balance Total Expenses</t>
  </si>
  <si>
    <t>Expenses Sub-Total (Including Boat Slips)</t>
  </si>
  <si>
    <t>Expenses Sub-Total (Calculated)</t>
  </si>
  <si>
    <t>Expenses Total (Including Boat Slips &amp; CRF Amount)</t>
  </si>
  <si>
    <t>Expenses To Be Excluded From CRF Calculation</t>
  </si>
  <si>
    <t>Expenses To Be Excluded From CRF Calculation Total</t>
  </si>
  <si>
    <t>Total Expenses (For CRF Calculation)</t>
  </si>
  <si>
    <t>Actual Monthly Fee</t>
  </si>
  <si>
    <t>Calculated</t>
  </si>
  <si>
    <t>Published</t>
  </si>
  <si>
    <t>Net Surplus/(Deficit)</t>
  </si>
  <si>
    <t>FY2022 AGM Budget Format</t>
  </si>
  <si>
    <t>Receipts / Revenue</t>
  </si>
  <si>
    <t>Account</t>
  </si>
  <si>
    <t>Assessment Income</t>
  </si>
  <si>
    <t>Owners's Contribution</t>
  </si>
  <si>
    <t>Total Assessment Income</t>
  </si>
  <si>
    <t>User Fee Income</t>
  </si>
  <si>
    <t>Fobs/Keys/Remote Fees</t>
  </si>
  <si>
    <t>Total User Fee Income</t>
  </si>
  <si>
    <t>Rental Income</t>
  </si>
  <si>
    <t>Total Rental Income</t>
  </si>
  <si>
    <t>Other Income</t>
  </si>
  <si>
    <t>Bylaw Fines</t>
  </si>
  <si>
    <t>Recycle Shed Income</t>
  </si>
  <si>
    <t>Total Other Income</t>
  </si>
  <si>
    <t>Investment Income</t>
  </si>
  <si>
    <t>Interest Income - Operating</t>
  </si>
  <si>
    <t>Total Investment Income</t>
  </si>
  <si>
    <t>Total Receipts / Revenue</t>
  </si>
  <si>
    <t>Expenses &amp; Reserves</t>
  </si>
  <si>
    <t>Administrative</t>
  </si>
  <si>
    <t>Bank Services</t>
  </si>
  <si>
    <t>Miscellaneous Expenses</t>
  </si>
  <si>
    <t>Total Administrative</t>
  </si>
  <si>
    <t>Miscellaneous Expenses Total</t>
  </si>
  <si>
    <t>Communications</t>
  </si>
  <si>
    <t>Social Committee Expenses</t>
  </si>
  <si>
    <t>Postage/Prining &amp; Copying</t>
  </si>
  <si>
    <t>Total Communications</t>
  </si>
  <si>
    <t>Payroll &amp; Benefits</t>
  </si>
  <si>
    <t>Salaries</t>
  </si>
  <si>
    <t>Total Payroll &amp; Benefits</t>
  </si>
  <si>
    <t>Insurance Premiums</t>
  </si>
  <si>
    <t>Total Insurance</t>
  </si>
  <si>
    <t>Utilities</t>
  </si>
  <si>
    <t>Electric Service</t>
  </si>
  <si>
    <t>Garbage and Recycling Service</t>
  </si>
  <si>
    <t>Total Utilities</t>
  </si>
  <si>
    <t>Total Landscaping</t>
  </si>
  <si>
    <t>Operations</t>
  </si>
  <si>
    <t>Total Operations</t>
  </si>
  <si>
    <t>Contracted Services</t>
  </si>
  <si>
    <t>Total Contracted Services</t>
  </si>
  <si>
    <t>Janitorial Services</t>
  </si>
  <si>
    <t>Repair &amp; Maintenance</t>
  </si>
  <si>
    <t>Total Repair &amp; Maintenance</t>
  </si>
  <si>
    <t>Landscaping Repair &amp; Maintenance</t>
  </si>
  <si>
    <t>Fixed Assets (Capital Purchases)</t>
  </si>
  <si>
    <t>Professional Services</t>
  </si>
  <si>
    <t>Legal Services</t>
  </si>
  <si>
    <t>Total Professional Services</t>
  </si>
  <si>
    <t>Taxes</t>
  </si>
  <si>
    <t>Total Taxes</t>
  </si>
  <si>
    <t>Total Operating Expenses</t>
  </si>
  <si>
    <t>Other Expenses</t>
  </si>
  <si>
    <t>Total Other Expenses</t>
  </si>
  <si>
    <t>CRF &amp; Other Budgeted Reserve Funds</t>
  </si>
  <si>
    <t>Reserve Expenses</t>
  </si>
  <si>
    <t>Contingency Reserve Fund</t>
  </si>
  <si>
    <t>Total Reserve Expenses</t>
  </si>
  <si>
    <t>Total Expenses &amp; Reserves</t>
  </si>
  <si>
    <t>Surplus / (Deficit)</t>
  </si>
  <si>
    <t>FY2021 Budget - From FY2020 AGM Minutes</t>
  </si>
  <si>
    <t>FY2021 Actual - From FY2021 AGM Package</t>
  </si>
  <si>
    <t>Transfer from Operating Surplus</t>
  </si>
  <si>
    <t>Other Revenue - Non Boat Slip Total</t>
  </si>
  <si>
    <t>Contingency Fund Contribution (Calculated)</t>
  </si>
  <si>
    <t>Contingency Fund Contribution (Published)</t>
  </si>
  <si>
    <t>% Increase Over FY2021 Actual</t>
  </si>
  <si>
    <t>Deficit Elimination</t>
  </si>
  <si>
    <t>Includes "Garry's Fantasy Budget" for developing budget alternatives.</t>
  </si>
  <si>
    <t>Added Statement of Financial Position.  The SFP is presented as described in an article from BC CHOA.</t>
  </si>
  <si>
    <t>Statement of Financial Position</t>
  </si>
  <si>
    <t>Assets</t>
  </si>
  <si>
    <t>Current</t>
  </si>
  <si>
    <t>Accounts Receivable</t>
  </si>
  <si>
    <t>Prepaid Expenses</t>
  </si>
  <si>
    <t>Tangible Capital Assets</t>
  </si>
  <si>
    <t>Liabilities</t>
  </si>
  <si>
    <t>Accounts Payable and Accruals</t>
  </si>
  <si>
    <t>Monthly Fees Receive in Advance</t>
  </si>
  <si>
    <t>Payroll Liabilities</t>
  </si>
  <si>
    <t>Vacation Payable</t>
  </si>
  <si>
    <t>Deposits</t>
  </si>
  <si>
    <t>Current Total</t>
  </si>
  <si>
    <t>Fund Balances</t>
  </si>
  <si>
    <t>Fund Balances Total</t>
  </si>
  <si>
    <t>Assets Total</t>
  </si>
  <si>
    <t>Liabilities Total</t>
  </si>
  <si>
    <t>CRF (Restricted)</t>
  </si>
  <si>
    <t>Invested in Tangible Capital Assets (Restricted)</t>
  </si>
  <si>
    <t>Other Funds (Restricted)</t>
  </si>
  <si>
    <t>Operating Fund (Unrestricted)</t>
  </si>
  <si>
    <t>Operating Fund</t>
  </si>
  <si>
    <t>CRF</t>
  </si>
  <si>
    <t>Boat Slip Fund</t>
  </si>
  <si>
    <t>Clubhouse Fund</t>
  </si>
  <si>
    <t>Petty Cash</t>
  </si>
  <si>
    <t>GIC Credit Card BMO</t>
  </si>
  <si>
    <t>Prepaid Expenses Total</t>
  </si>
  <si>
    <t>Funds</t>
  </si>
  <si>
    <t>Fund Total</t>
  </si>
  <si>
    <t>Other Total</t>
  </si>
  <si>
    <t>Start</t>
  </si>
  <si>
    <t>Allocation</t>
  </si>
  <si>
    <t>Pump Funds</t>
  </si>
  <si>
    <t>Withdrawals</t>
  </si>
  <si>
    <t>Deposits Total</t>
  </si>
  <si>
    <t>Bench Blocks</t>
  </si>
  <si>
    <t>Log replacement: Options</t>
  </si>
  <si>
    <t>Railing Replacement: Options</t>
  </si>
  <si>
    <t>Cable Railings</t>
  </si>
  <si>
    <t>Glass</t>
  </si>
  <si>
    <t>Metal Slats</t>
  </si>
  <si>
    <t>Tempered Glass</t>
  </si>
  <si>
    <t>Keystone Blocks &amp; Caps</t>
  </si>
  <si>
    <t>Average</t>
  </si>
  <si>
    <t>Waste Water Pump Replacement</t>
  </si>
  <si>
    <t>Snow Plow Blade</t>
  </si>
  <si>
    <t>2021 AGM Package</t>
  </si>
  <si>
    <t>Delta</t>
  </si>
  <si>
    <t>Minimum</t>
  </si>
  <si>
    <t>Maximum</t>
  </si>
  <si>
    <t>End (Average Withdrawals)</t>
  </si>
  <si>
    <t>End (Minimum Withdrawals)</t>
  </si>
  <si>
    <t>End (Maximum Withdrawals)</t>
  </si>
  <si>
    <t>End (No Withdrawals)</t>
  </si>
  <si>
    <t>Withdrawals Total (FY2022)</t>
  </si>
  <si>
    <t>Fixed Assets</t>
  </si>
  <si>
    <t>Cash Transfer In</t>
  </si>
  <si>
    <t>Assets Purchased</t>
  </si>
  <si>
    <t>Depreciation</t>
  </si>
  <si>
    <t>Fixed Assets Total</t>
  </si>
  <si>
    <t>Asset</t>
  </si>
  <si>
    <t>Cost</t>
  </si>
  <si>
    <t>Years</t>
  </si>
  <si>
    <t>Per Year</t>
  </si>
  <si>
    <t>Accumulated</t>
  </si>
  <si>
    <t>FY2021 Purchases</t>
  </si>
  <si>
    <t>Depreciation - Budget</t>
  </si>
  <si>
    <t>Depreciation - Actual</t>
  </si>
  <si>
    <t>2021 Depreciation</t>
  </si>
  <si>
    <t>2021 Net</t>
  </si>
  <si>
    <t>2022 Depreciation</t>
  </si>
  <si>
    <t>2022 Net</t>
  </si>
  <si>
    <t>2023 Depreciation</t>
  </si>
  <si>
    <t>2023 Net</t>
  </si>
  <si>
    <t>V0.7</t>
  </si>
  <si>
    <t>Added percentage actual v budget column.</t>
  </si>
  <si>
    <t>V0.6</t>
  </si>
  <si>
    <t>% FY2021 Budget-Actual</t>
  </si>
  <si>
    <t>NOT COMPLETE - FAILED EARLY ATTEMPT AT AN SFP - DO NOT USE!</t>
  </si>
  <si>
    <t>This reconciles with the information provided in the 2021 AGM package, and should make it easier to understand the various options and state of the CRF.</t>
  </si>
  <si>
    <t>NOT COMPLETE - FAILED EARLY ATTEMPT AT RECONCILING FIXED ASSETS - DO NOT USE!</t>
  </si>
  <si>
    <t>NOT COMPLETE - FAILED EARLY ATTEMPT AT FORECASTING UNIT COMPLETIONS - DO NOT USE!</t>
  </si>
  <si>
    <t>Revenue</t>
  </si>
  <si>
    <t>V0.8</t>
  </si>
  <si>
    <t>Formatting.</t>
  </si>
  <si>
    <t>V0.9</t>
  </si>
  <si>
    <t>From the Information Statement, at completion, there will be 30 lakefront homes and 255 meadow/hill side homes.  There are currently 5 lakefront homes under construction, all of whih should complete in FY2022.
The number and type of homes used to calculate monthly fees should be updated to include current and completed numbers.</t>
  </si>
  <si>
    <t>V0.10</t>
  </si>
  <si>
    <t>Added section to understand BOD's $85 equal increase method.</t>
  </si>
  <si>
    <t>Standard Homes</t>
  </si>
  <si>
    <t>Lakefront Lots</t>
  </si>
  <si>
    <t>Increase</t>
  </si>
  <si>
    <t>Increase / Lot / Month</t>
  </si>
  <si>
    <t>Operating Expense Increase Spread Eually</t>
  </si>
  <si>
    <t>Budgetery (Entitlement) Units</t>
  </si>
  <si>
    <t>Future Monthly Fees - Standard Allocation</t>
  </si>
  <si>
    <t>Monthly Fee Increase</t>
  </si>
  <si>
    <t>Standard Lots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</si>
</sst>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9" x14ac:knownFonts="1">
    <font>
      <sz val="11"/>
      <color theme="1"/>
      <name val="Calibri"/>
      <family val="2"/>
      <scheme val="minor"/>
    </font>
    <font>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1"/>
      <color theme="1"/>
      <name val="Calibri"/>
      <family val="2"/>
      <scheme val="minor"/>
    </font>
    <font>
      <sz val="18"/>
      <color rgb="FFFF0000"/>
      <name val="Calibri"/>
      <family val="2"/>
      <scheme val="minor"/>
    </font>
    <font>
      <b/>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theme="4" tint="0.59999389629810485"/>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9" fontId="0" fillId="0" borderId="0" xfId="2" applyFont="1"/>
    <xf numFmtId="9" fontId="0" fillId="0" borderId="0" xfId="0" applyNumberFormat="1"/>
    <xf numFmtId="44" fontId="0" fillId="0" borderId="0" xfId="1" applyFont="1"/>
    <xf numFmtId="10" fontId="0" fillId="0" borderId="0" xfId="0" applyNumberFormat="1"/>
    <xf numFmtId="3" fontId="0" fillId="0" borderId="0" xfId="1" applyNumberFormat="1" applyFont="1"/>
    <xf numFmtId="3" fontId="0" fillId="0" borderId="0" xfId="0" applyNumberFormat="1"/>
    <xf numFmtId="3" fontId="0" fillId="2" borderId="0" xfId="1" applyNumberFormat="1" applyFont="1" applyFill="1"/>
    <xf numFmtId="38" fontId="0" fillId="0" borderId="0" xfId="1" applyNumberFormat="1" applyFont="1"/>
    <xf numFmtId="40" fontId="0" fillId="0" borderId="0" xfId="1" applyNumberFormat="1" applyFont="1"/>
    <xf numFmtId="40" fontId="0" fillId="0" borderId="0" xfId="0" applyNumberFormat="1"/>
    <xf numFmtId="3" fontId="0" fillId="3" borderId="0" xfId="1" applyNumberFormat="1" applyFont="1" applyFill="1"/>
    <xf numFmtId="3" fontId="0" fillId="4" borderId="0" xfId="1" applyNumberFormat="1" applyFont="1" applyFill="1"/>
    <xf numFmtId="3" fontId="0" fillId="0" borderId="0" xfId="1" applyNumberFormat="1" applyFont="1" applyFill="1"/>
    <xf numFmtId="3" fontId="0" fillId="5" borderId="0" xfId="0" applyNumberFormat="1" applyFill="1"/>
    <xf numFmtId="1" fontId="0" fillId="0" borderId="0" xfId="0" applyNumberFormat="1"/>
    <xf numFmtId="3" fontId="0" fillId="6" borderId="0" xfId="1" applyNumberFormat="1" applyFont="1" applyFill="1"/>
    <xf numFmtId="1" fontId="0" fillId="0" borderId="0" xfId="0" applyNumberFormat="1" applyFill="1"/>
    <xf numFmtId="0" fontId="0" fillId="0" borderId="0" xfId="0" applyNumberFormat="1"/>
    <xf numFmtId="15" fontId="0" fillId="0" borderId="0" xfId="0" applyNumberFormat="1"/>
    <xf numFmtId="0" fontId="6" fillId="0" borderId="0" xfId="0" applyFont="1"/>
    <xf numFmtId="164" fontId="0" fillId="0" borderId="0" xfId="1" applyNumberFormat="1" applyFont="1"/>
    <xf numFmtId="0" fontId="7" fillId="0" borderId="0" xfId="0" applyFont="1"/>
    <xf numFmtId="0" fontId="0" fillId="0" borderId="0" xfId="0" applyAlignment="1">
      <alignment vertical="top" wrapText="1"/>
    </xf>
    <xf numFmtId="0" fontId="0" fillId="0" borderId="0" xfId="0" applyAlignment="1">
      <alignment horizontal="center"/>
    </xf>
    <xf numFmtId="44" fontId="0" fillId="0" borderId="0" xfId="0" applyNumberFormat="1"/>
    <xf numFmtId="49" fontId="6" fillId="0" borderId="0" xfId="0" applyNumberFormat="1" applyFont="1" applyAlignment="1">
      <alignment vertical="top" wrapText="1"/>
    </xf>
    <xf numFmtId="3" fontId="6" fillId="0" borderId="0" xfId="1" applyNumberFormat="1" applyFont="1" applyAlignment="1">
      <alignment vertical="top" wrapText="1"/>
    </xf>
    <xf numFmtId="38" fontId="6" fillId="0" borderId="0" xfId="1" applyNumberFormat="1" applyFont="1" applyAlignment="1">
      <alignment vertical="top" wrapText="1"/>
    </xf>
    <xf numFmtId="40" fontId="6" fillId="0" borderId="0" xfId="1" applyNumberFormat="1" applyFont="1" applyAlignment="1">
      <alignment vertical="top" wrapText="1"/>
    </xf>
    <xf numFmtId="9" fontId="6" fillId="0" borderId="0" xfId="2" applyFont="1" applyAlignment="1">
      <alignment vertical="top" wrapText="1"/>
    </xf>
    <xf numFmtId="0" fontId="8" fillId="0" borderId="0" xfId="0" applyFo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99255-CA9F-4E07-8660-D2C85D7C4905}">
  <dimension ref="A1:B12"/>
  <sheetViews>
    <sheetView workbookViewId="0">
      <selection activeCell="B1" sqref="B1"/>
    </sheetView>
  </sheetViews>
  <sheetFormatPr defaultRowHeight="14.25" x14ac:dyDescent="0.45"/>
  <cols>
    <col min="1" max="1" width="9.06640625" style="23"/>
    <col min="2" max="2" width="90.73046875" style="23" customWidth="1"/>
    <col min="3" max="16384" width="9.06640625" style="23"/>
  </cols>
  <sheetData>
    <row r="1" spans="1:2" x14ac:dyDescent="0.45">
      <c r="A1" s="23" t="s">
        <v>424</v>
      </c>
      <c r="B1" s="23" t="s">
        <v>425</v>
      </c>
    </row>
    <row r="3" spans="1:2" ht="71.25" x14ac:dyDescent="0.45">
      <c r="A3" s="23" t="s">
        <v>422</v>
      </c>
      <c r="B3" s="23" t="s">
        <v>423</v>
      </c>
    </row>
    <row r="5" spans="1:2" x14ac:dyDescent="0.45">
      <c r="A5" s="23" t="s">
        <v>420</v>
      </c>
      <c r="B5" s="23" t="s">
        <v>421</v>
      </c>
    </row>
    <row r="7" spans="1:2" x14ac:dyDescent="0.45">
      <c r="A7" s="23" t="s">
        <v>411</v>
      </c>
      <c r="B7" s="23" t="s">
        <v>412</v>
      </c>
    </row>
    <row r="9" spans="1:2" x14ac:dyDescent="0.45">
      <c r="A9" s="23" t="s">
        <v>413</v>
      </c>
      <c r="B9" s="23" t="s">
        <v>335</v>
      </c>
    </row>
    <row r="11" spans="1:2" ht="28.5" x14ac:dyDescent="0.45">
      <c r="A11" s="23" t="s">
        <v>244</v>
      </c>
      <c r="B11" s="23" t="s">
        <v>245</v>
      </c>
    </row>
    <row r="12" spans="1:2" x14ac:dyDescent="0.45">
      <c r="B12" s="23" t="s">
        <v>334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0D86C-AC6B-4534-849C-205AD9856D34}">
  <dimension ref="A1:P457"/>
  <sheetViews>
    <sheetView tabSelected="1" workbookViewId="0">
      <pane xSplit="3" ySplit="3" topLeftCell="D4" activePane="bottomRight" state="frozen"/>
      <selection pane="topRight" activeCell="D1" sqref="D1"/>
      <selection pane="bottomLeft" activeCell="A4" sqref="A4"/>
      <selection pane="bottomRight"/>
    </sheetView>
  </sheetViews>
  <sheetFormatPr defaultRowHeight="14.25" x14ac:dyDescent="0.45"/>
  <cols>
    <col min="1" max="1" width="14.73046875" bestFit="1" customWidth="1"/>
    <col min="2" max="2" width="7.73046875" customWidth="1"/>
    <col min="3" max="3" width="27.73046875" customWidth="1"/>
    <col min="4" max="4" width="12.1328125" hidden="1" customWidth="1"/>
    <col min="5" max="5" width="13.3984375" style="5" bestFit="1" customWidth="1"/>
    <col min="6" max="6" width="12.1328125" style="5" bestFit="1" customWidth="1"/>
    <col min="7" max="7" width="10.6640625" style="8" bestFit="1" customWidth="1"/>
    <col min="8" max="8" width="10.6640625" style="8" customWidth="1"/>
    <col min="9" max="9" width="12.1328125" style="5" hidden="1" customWidth="1"/>
    <col min="10" max="10" width="13.3984375" style="5" bestFit="1" customWidth="1"/>
    <col min="11" max="11" width="12.33203125" style="9" hidden="1" customWidth="1"/>
    <col min="12" max="12" width="8.1328125" style="1" hidden="1" customWidth="1"/>
    <col min="13" max="13" width="12.86328125" style="9" bestFit="1" customWidth="1"/>
    <col min="14" max="14" width="9.265625" style="1" bestFit="1" customWidth="1"/>
    <col min="15" max="15" width="9.265625" style="1" customWidth="1"/>
    <col min="16" max="16" width="14.33203125" style="5" bestFit="1" customWidth="1"/>
  </cols>
  <sheetData>
    <row r="1" spans="1:16" ht="15.75" x14ac:dyDescent="0.5">
      <c r="A1" s="31" t="s">
        <v>0</v>
      </c>
      <c r="M1"/>
      <c r="N1"/>
      <c r="O1"/>
      <c r="P1"/>
    </row>
    <row r="3" spans="1:16" s="26" customFormat="1" ht="59.25" customHeight="1" x14ac:dyDescent="0.45">
      <c r="A3" s="26" t="s">
        <v>1</v>
      </c>
      <c r="B3" s="26" t="s">
        <v>2</v>
      </c>
      <c r="C3" s="26" t="s">
        <v>3</v>
      </c>
      <c r="D3" s="26" t="s">
        <v>8</v>
      </c>
      <c r="E3" s="27" t="s">
        <v>326</v>
      </c>
      <c r="F3" s="27" t="s">
        <v>327</v>
      </c>
      <c r="G3" s="28" t="s">
        <v>4</v>
      </c>
      <c r="H3" s="28" t="s">
        <v>414</v>
      </c>
      <c r="I3" s="27" t="s">
        <v>226</v>
      </c>
      <c r="J3" s="27" t="s">
        <v>227</v>
      </c>
      <c r="K3" s="29" t="s">
        <v>5</v>
      </c>
      <c r="L3" s="30" t="s">
        <v>9</v>
      </c>
      <c r="M3" s="29" t="s">
        <v>6</v>
      </c>
      <c r="N3" s="30" t="s">
        <v>224</v>
      </c>
      <c r="O3" s="30" t="s">
        <v>332</v>
      </c>
      <c r="P3" s="27" t="s">
        <v>243</v>
      </c>
    </row>
    <row r="4" spans="1:16" x14ac:dyDescent="0.45">
      <c r="A4" t="s">
        <v>49</v>
      </c>
      <c r="B4">
        <v>5020</v>
      </c>
      <c r="C4" t="s">
        <v>38</v>
      </c>
      <c r="O4"/>
    </row>
    <row r="5" spans="1:16" x14ac:dyDescent="0.45">
      <c r="C5" t="s">
        <v>39</v>
      </c>
      <c r="E5" s="5">
        <v>0</v>
      </c>
      <c r="G5" s="8">
        <f>E5-F5</f>
        <v>0</v>
      </c>
      <c r="H5" s="1" t="str">
        <f t="shared" ref="H5:H10" si="0">IF(E5&lt;&gt;0,F5/E5,"")</f>
        <v/>
      </c>
      <c r="I5" s="5">
        <v>7400</v>
      </c>
      <c r="J5" s="5">
        <v>7400</v>
      </c>
      <c r="K5" s="9">
        <f t="shared" ref="K5:K11" si="1">J5-E5</f>
        <v>7400</v>
      </c>
      <c r="L5" s="1" t="str">
        <f t="shared" ref="L5:L11" si="2">IF(E5&lt;&gt;0,K5/E5,"")</f>
        <v/>
      </c>
      <c r="M5" s="9">
        <f t="shared" ref="M5:M11" si="3">J5-F5</f>
        <v>7400</v>
      </c>
      <c r="N5" s="1" t="str">
        <f t="shared" ref="N5:N11" si="4">IF(F5&lt;&gt;0,M5/F5,"")</f>
        <v/>
      </c>
      <c r="O5"/>
      <c r="P5" s="5">
        <v>2000</v>
      </c>
    </row>
    <row r="6" spans="1:16" x14ac:dyDescent="0.45">
      <c r="C6" t="s">
        <v>40</v>
      </c>
      <c r="E6" s="5">
        <v>0</v>
      </c>
      <c r="G6" s="8">
        <f t="shared" ref="G6:G75" si="5">E6-F6</f>
        <v>0</v>
      </c>
      <c r="H6" s="1" t="str">
        <f t="shared" si="0"/>
        <v/>
      </c>
      <c r="I6" s="5">
        <v>264</v>
      </c>
      <c r="J6" s="5">
        <v>264</v>
      </c>
      <c r="K6" s="9">
        <f t="shared" si="1"/>
        <v>264</v>
      </c>
      <c r="L6" s="1" t="str">
        <f t="shared" si="2"/>
        <v/>
      </c>
      <c r="M6" s="9">
        <f t="shared" si="3"/>
        <v>264</v>
      </c>
      <c r="N6" s="1" t="str">
        <f t="shared" si="4"/>
        <v/>
      </c>
      <c r="O6"/>
      <c r="P6" s="5">
        <v>300</v>
      </c>
    </row>
    <row r="7" spans="1:16" x14ac:dyDescent="0.45">
      <c r="C7" t="s">
        <v>41</v>
      </c>
      <c r="E7" s="5">
        <v>0</v>
      </c>
      <c r="G7" s="8">
        <f t="shared" si="5"/>
        <v>0</v>
      </c>
      <c r="H7" s="1" t="str">
        <f t="shared" si="0"/>
        <v/>
      </c>
      <c r="I7" s="5">
        <v>28</v>
      </c>
      <c r="J7" s="5">
        <v>28</v>
      </c>
      <c r="K7" s="9">
        <f t="shared" si="1"/>
        <v>28</v>
      </c>
      <c r="L7" s="1" t="str">
        <f t="shared" si="2"/>
        <v/>
      </c>
      <c r="M7" s="9">
        <f t="shared" si="3"/>
        <v>28</v>
      </c>
      <c r="N7" s="1" t="str">
        <f t="shared" si="4"/>
        <v/>
      </c>
      <c r="O7"/>
      <c r="P7" s="5">
        <v>100</v>
      </c>
    </row>
    <row r="8" spans="1:16" x14ac:dyDescent="0.45">
      <c r="C8" t="s">
        <v>42</v>
      </c>
      <c r="E8" s="5">
        <v>0</v>
      </c>
      <c r="G8" s="8">
        <f t="shared" si="5"/>
        <v>0</v>
      </c>
      <c r="H8" s="1" t="str">
        <f t="shared" si="0"/>
        <v/>
      </c>
      <c r="I8" s="5">
        <v>226</v>
      </c>
      <c r="J8" s="5">
        <v>226</v>
      </c>
      <c r="K8" s="9">
        <f t="shared" si="1"/>
        <v>226</v>
      </c>
      <c r="L8" s="1" t="str">
        <f t="shared" si="2"/>
        <v/>
      </c>
      <c r="M8" s="9">
        <f t="shared" si="3"/>
        <v>226</v>
      </c>
      <c r="N8" s="1" t="str">
        <f t="shared" si="4"/>
        <v/>
      </c>
      <c r="O8"/>
      <c r="P8" s="5">
        <v>300</v>
      </c>
    </row>
    <row r="9" spans="1:16" x14ac:dyDescent="0.45">
      <c r="C9" t="s">
        <v>43</v>
      </c>
      <c r="E9" s="5">
        <v>0</v>
      </c>
      <c r="G9" s="8">
        <f t="shared" si="5"/>
        <v>0</v>
      </c>
      <c r="H9" s="1" t="str">
        <f t="shared" si="0"/>
        <v/>
      </c>
      <c r="I9" s="5">
        <v>588</v>
      </c>
      <c r="J9" s="5">
        <v>588</v>
      </c>
      <c r="K9" s="9">
        <f t="shared" si="1"/>
        <v>588</v>
      </c>
      <c r="L9" s="1" t="str">
        <f t="shared" si="2"/>
        <v/>
      </c>
      <c r="M9" s="9">
        <f t="shared" si="3"/>
        <v>588</v>
      </c>
      <c r="N9" s="1" t="str">
        <f t="shared" si="4"/>
        <v/>
      </c>
      <c r="O9"/>
      <c r="P9" s="5">
        <v>600</v>
      </c>
    </row>
    <row r="10" spans="1:16" x14ac:dyDescent="0.45">
      <c r="C10" t="s">
        <v>44</v>
      </c>
      <c r="E10" s="5">
        <v>6600</v>
      </c>
      <c r="G10" s="8">
        <f t="shared" si="5"/>
        <v>6600</v>
      </c>
      <c r="H10" s="1">
        <f t="shared" si="0"/>
        <v>0</v>
      </c>
      <c r="I10" s="5">
        <v>6600</v>
      </c>
      <c r="J10" s="5">
        <v>6600</v>
      </c>
      <c r="K10" s="9">
        <f t="shared" si="1"/>
        <v>0</v>
      </c>
      <c r="L10" s="1">
        <f t="shared" si="2"/>
        <v>0</v>
      </c>
      <c r="M10" s="9">
        <f t="shared" si="3"/>
        <v>6600</v>
      </c>
      <c r="N10" s="1" t="str">
        <f t="shared" si="4"/>
        <v/>
      </c>
      <c r="O10"/>
      <c r="P10" s="5">
        <v>6600</v>
      </c>
    </row>
    <row r="11" spans="1:16" x14ac:dyDescent="0.45">
      <c r="C11" t="s">
        <v>45</v>
      </c>
      <c r="E11" s="5">
        <f>SUM(E5:E10)</f>
        <v>6600</v>
      </c>
      <c r="F11" s="5">
        <f>11726.32</f>
        <v>11726.32</v>
      </c>
      <c r="G11" s="8">
        <f>E11-F11</f>
        <v>-5126.32</v>
      </c>
      <c r="H11" s="1">
        <f>IF(E11&lt;&gt;0,F11/E11,"")</f>
        <v>1.7767151515151516</v>
      </c>
      <c r="I11" s="5">
        <f t="shared" ref="I11:J11" si="6">SUM(I5:I10)</f>
        <v>15106</v>
      </c>
      <c r="J11" s="13">
        <f t="shared" si="6"/>
        <v>15106</v>
      </c>
      <c r="K11" s="9">
        <f t="shared" si="1"/>
        <v>8506</v>
      </c>
      <c r="L11" s="1">
        <f t="shared" si="2"/>
        <v>1.2887878787878788</v>
      </c>
      <c r="M11" s="9">
        <f t="shared" si="3"/>
        <v>3379.6800000000003</v>
      </c>
      <c r="N11" s="1">
        <f t="shared" si="4"/>
        <v>0.28821318197013218</v>
      </c>
      <c r="O11"/>
      <c r="P11" s="5">
        <f>(1+O11)*F11</f>
        <v>11726.32</v>
      </c>
    </row>
    <row r="12" spans="1:16" x14ac:dyDescent="0.45">
      <c r="H12" s="1"/>
      <c r="O12"/>
    </row>
    <row r="13" spans="1:16" x14ac:dyDescent="0.45">
      <c r="B13">
        <v>5015</v>
      </c>
      <c r="C13" t="s">
        <v>46</v>
      </c>
      <c r="H13" s="1"/>
      <c r="O13"/>
    </row>
    <row r="14" spans="1:16" x14ac:dyDescent="0.45">
      <c r="C14" t="s">
        <v>48</v>
      </c>
      <c r="E14" s="5">
        <v>300</v>
      </c>
      <c r="F14" s="5">
        <v>269.32</v>
      </c>
      <c r="G14" s="8">
        <f t="shared" si="5"/>
        <v>30.680000000000007</v>
      </c>
      <c r="H14" s="1">
        <f t="shared" ref="H14:H75" si="7">IF(E14&lt;&gt;0,F14/E14,"")</f>
        <v>0.89773333333333327</v>
      </c>
      <c r="I14" s="5">
        <v>300</v>
      </c>
      <c r="J14" s="5">
        <v>300</v>
      </c>
      <c r="K14" s="9">
        <f>J14-E14</f>
        <v>0</v>
      </c>
      <c r="L14" s="1">
        <f>IF(E14&lt;&gt;0,K14/E14,"")</f>
        <v>0</v>
      </c>
      <c r="M14" s="9">
        <f>J14-F14</f>
        <v>30.680000000000007</v>
      </c>
      <c r="N14" s="1">
        <f>IF(F14&lt;&gt;0,M14/F14,"")</f>
        <v>0.11391653052131297</v>
      </c>
      <c r="O14" s="1">
        <v>0.05</v>
      </c>
      <c r="P14" s="5">
        <f>(1+O14)*F14</f>
        <v>282.786</v>
      </c>
    </row>
    <row r="15" spans="1:16" x14ac:dyDescent="0.45">
      <c r="C15" t="s">
        <v>47</v>
      </c>
      <c r="E15" s="5">
        <f xml:space="preserve"> SUM(E14:E14)</f>
        <v>300</v>
      </c>
      <c r="F15" s="5">
        <f t="shared" ref="F15:J15" si="8" xml:space="preserve"> SUM(F14:F14)</f>
        <v>269.32</v>
      </c>
      <c r="G15" s="8">
        <f t="shared" si="5"/>
        <v>30.680000000000007</v>
      </c>
      <c r="H15" s="1">
        <f t="shared" si="7"/>
        <v>0.89773333333333327</v>
      </c>
      <c r="I15" s="5">
        <f t="shared" si="8"/>
        <v>300</v>
      </c>
      <c r="J15" s="5">
        <f t="shared" si="8"/>
        <v>300</v>
      </c>
      <c r="K15" s="9">
        <f>J15-E15</f>
        <v>0</v>
      </c>
      <c r="L15" s="1">
        <f>IF(E15&lt;&gt;0,K15/E15,"")</f>
        <v>0</v>
      </c>
      <c r="M15" s="9">
        <f>J15-F15</f>
        <v>30.680000000000007</v>
      </c>
      <c r="N15" s="1">
        <f>IF(F15&lt;&gt;0,M15/F15,"")</f>
        <v>0.11391653052131297</v>
      </c>
      <c r="P15" s="5">
        <f t="shared" ref="P15" si="9" xml:space="preserve"> SUM(P14:P14)</f>
        <v>282.786</v>
      </c>
    </row>
    <row r="16" spans="1:16" x14ac:dyDescent="0.45">
      <c r="H16" s="1"/>
    </row>
    <row r="17" spans="1:16" x14ac:dyDescent="0.45">
      <c r="B17">
        <v>5195</v>
      </c>
      <c r="C17" t="s">
        <v>286</v>
      </c>
      <c r="H17" s="1"/>
    </row>
    <row r="18" spans="1:16" x14ac:dyDescent="0.45">
      <c r="C18" t="s">
        <v>286</v>
      </c>
      <c r="E18" s="5">
        <v>0</v>
      </c>
      <c r="F18" s="5">
        <v>262.5</v>
      </c>
      <c r="G18" s="8">
        <f t="shared" si="5"/>
        <v>-262.5</v>
      </c>
      <c r="H18" s="1" t="str">
        <f t="shared" si="7"/>
        <v/>
      </c>
      <c r="K18" s="9">
        <f>J18-E18</f>
        <v>0</v>
      </c>
      <c r="L18" s="1" t="str">
        <f>IF(E18&lt;&gt;0,K18/E18,"")</f>
        <v/>
      </c>
      <c r="M18" s="9">
        <f>J18-F18</f>
        <v>-262.5</v>
      </c>
      <c r="N18" s="1">
        <f>IF(F18&lt;&gt;0,M18/F18,"")</f>
        <v>-1</v>
      </c>
      <c r="P18" s="5">
        <v>500</v>
      </c>
    </row>
    <row r="19" spans="1:16" x14ac:dyDescent="0.45">
      <c r="C19" t="s">
        <v>288</v>
      </c>
      <c r="E19" s="5">
        <f>SUM(E18:E18)</f>
        <v>0</v>
      </c>
      <c r="F19" s="5">
        <f>SUM(F18:F18)</f>
        <v>262.5</v>
      </c>
      <c r="G19" s="8">
        <f t="shared" si="5"/>
        <v>-262.5</v>
      </c>
      <c r="H19" s="1" t="str">
        <f t="shared" si="7"/>
        <v/>
      </c>
      <c r="I19" s="5">
        <f>SUM(I18:I18)</f>
        <v>0</v>
      </c>
      <c r="J19" s="5">
        <f>SUM(J18:J18)</f>
        <v>0</v>
      </c>
      <c r="K19" s="9">
        <f>J19-E19</f>
        <v>0</v>
      </c>
      <c r="L19" s="1" t="str">
        <f>IF(E19&lt;&gt;0,K19/E19,"")</f>
        <v/>
      </c>
      <c r="M19" s="9">
        <f>J19-F19</f>
        <v>-262.5</v>
      </c>
      <c r="N19" s="1">
        <f>IF(F19&lt;&gt;0,M19/F19,"")</f>
        <v>-1</v>
      </c>
      <c r="P19" s="5">
        <f>SUM(P18:P18)</f>
        <v>500</v>
      </c>
    </row>
    <row r="20" spans="1:16" x14ac:dyDescent="0.45">
      <c r="H20" s="1"/>
    </row>
    <row r="21" spans="1:16" x14ac:dyDescent="0.45">
      <c r="C21" t="s">
        <v>50</v>
      </c>
      <c r="E21" s="5">
        <f>E11+E15+E19</f>
        <v>6900</v>
      </c>
      <c r="F21" s="5">
        <f>F11+F15+F19</f>
        <v>12258.14</v>
      </c>
      <c r="G21" s="8">
        <f t="shared" si="5"/>
        <v>-5358.1399999999994</v>
      </c>
      <c r="H21" s="1">
        <f t="shared" si="7"/>
        <v>1.7765420289855072</v>
      </c>
      <c r="I21" s="5">
        <f>I11+I15+I19</f>
        <v>15406</v>
      </c>
      <c r="J21" s="5">
        <f>J11+J15+J19</f>
        <v>15406</v>
      </c>
      <c r="K21" s="9">
        <f>J21-E21</f>
        <v>8506</v>
      </c>
      <c r="L21" s="1">
        <f>IF(E21&lt;&gt;0,K21/E21,"")</f>
        <v>1.2327536231884058</v>
      </c>
      <c r="M21" s="9">
        <f>J21-F21</f>
        <v>3147.8600000000006</v>
      </c>
      <c r="N21" s="1">
        <f>IF(F21&lt;&gt;0,M21/F21,"")</f>
        <v>0.25679752393103689</v>
      </c>
      <c r="P21" s="5">
        <f>P11+P15+P19</f>
        <v>12509.106</v>
      </c>
    </row>
    <row r="22" spans="1:16" x14ac:dyDescent="0.45">
      <c r="H22" s="1"/>
    </row>
    <row r="23" spans="1:16" x14ac:dyDescent="0.45">
      <c r="A23" t="s">
        <v>52</v>
      </c>
      <c r="B23">
        <v>5205</v>
      </c>
      <c r="C23" t="s">
        <v>53</v>
      </c>
      <c r="F23" s="5">
        <v>1033.3900000000001</v>
      </c>
      <c r="G23" s="8">
        <f t="shared" si="5"/>
        <v>-1033.3900000000001</v>
      </c>
      <c r="H23" s="1" t="str">
        <f t="shared" si="7"/>
        <v/>
      </c>
      <c r="K23" s="9">
        <f>J23-E23</f>
        <v>0</v>
      </c>
      <c r="L23" s="1" t="str">
        <f>IF(E23&lt;&gt;0,K23/E23,"")</f>
        <v/>
      </c>
      <c r="M23" s="9">
        <f>J23-F23</f>
        <v>-1033.3900000000001</v>
      </c>
      <c r="N23" s="1">
        <f>IF(F23&lt;&gt;0,M23/F23,"")</f>
        <v>-1</v>
      </c>
      <c r="P23" s="5">
        <v>0</v>
      </c>
    </row>
    <row r="24" spans="1:16" x14ac:dyDescent="0.45">
      <c r="B24">
        <v>5210</v>
      </c>
      <c r="C24" t="s">
        <v>54</v>
      </c>
      <c r="E24"/>
      <c r="F24"/>
      <c r="G24"/>
      <c r="H24" s="1"/>
      <c r="I24"/>
      <c r="J24"/>
      <c r="K24"/>
      <c r="L24"/>
      <c r="M24"/>
      <c r="N24"/>
      <c r="P24"/>
    </row>
    <row r="25" spans="1:16" x14ac:dyDescent="0.45">
      <c r="C25" t="s">
        <v>159</v>
      </c>
      <c r="E25" s="5">
        <v>2750</v>
      </c>
      <c r="F25" s="5">
        <v>3042.05</v>
      </c>
      <c r="G25" s="8">
        <f t="shared" ref="G25" si="10">E25-F25</f>
        <v>-292.05000000000018</v>
      </c>
      <c r="H25" s="1">
        <f t="shared" si="7"/>
        <v>1.1062000000000001</v>
      </c>
      <c r="I25" s="13">
        <v>2750</v>
      </c>
      <c r="J25" s="13">
        <v>3650</v>
      </c>
      <c r="K25" s="9">
        <f>J25-E25</f>
        <v>900</v>
      </c>
      <c r="L25" s="1">
        <f>IF(E25&lt;&gt;0,K25/E25,"")</f>
        <v>0.32727272727272727</v>
      </c>
      <c r="M25" s="9">
        <f>J25-F25</f>
        <v>607.94999999999982</v>
      </c>
      <c r="N25" s="1">
        <f>IF(F25&lt;&gt;0,M25/F25,"")</f>
        <v>0.19984878618037172</v>
      </c>
      <c r="O25" s="1">
        <v>0.05</v>
      </c>
      <c r="P25" s="5">
        <f>(1+O25)*F25</f>
        <v>3194.1525000000001</v>
      </c>
    </row>
    <row r="26" spans="1:16" x14ac:dyDescent="0.45">
      <c r="C26" t="s">
        <v>233</v>
      </c>
      <c r="E26" s="5">
        <f>SUM(E25:E25)</f>
        <v>2750</v>
      </c>
      <c r="F26" s="5">
        <f t="shared" ref="F26:J26" si="11">SUM(F25:F25)</f>
        <v>3042.05</v>
      </c>
      <c r="G26" s="5">
        <f t="shared" si="11"/>
        <v>-292.05000000000018</v>
      </c>
      <c r="H26" s="1">
        <f t="shared" si="7"/>
        <v>1.1062000000000001</v>
      </c>
      <c r="I26" s="5">
        <f t="shared" si="11"/>
        <v>2750</v>
      </c>
      <c r="J26" s="13">
        <f t="shared" si="11"/>
        <v>3650</v>
      </c>
      <c r="K26" s="9">
        <f>J26-E26</f>
        <v>900</v>
      </c>
      <c r="L26" s="1">
        <f>IF(E26&lt;&gt;0,K26/E26,"")</f>
        <v>0.32727272727272727</v>
      </c>
      <c r="M26" s="9">
        <f>J26-F26</f>
        <v>607.94999999999982</v>
      </c>
      <c r="N26" s="1">
        <f>IF(F26&lt;&gt;0,M26/F26,"")</f>
        <v>0.19984878618037172</v>
      </c>
      <c r="P26" s="13">
        <f t="shared" ref="P26" si="12">SUM(P25:P25)</f>
        <v>3194.1525000000001</v>
      </c>
    </row>
    <row r="27" spans="1:16" x14ac:dyDescent="0.45">
      <c r="H27" s="1"/>
    </row>
    <row r="28" spans="1:16" x14ac:dyDescent="0.45">
      <c r="C28" t="s">
        <v>60</v>
      </c>
      <c r="E28" s="5">
        <f>E23+E26</f>
        <v>2750</v>
      </c>
      <c r="F28" s="5">
        <f t="shared" ref="F28:J28" si="13">F23+F26</f>
        <v>4075.4400000000005</v>
      </c>
      <c r="G28" s="5">
        <f t="shared" si="13"/>
        <v>-1325.4400000000003</v>
      </c>
      <c r="H28" s="1">
        <f t="shared" si="7"/>
        <v>1.4819781818181821</v>
      </c>
      <c r="I28" s="5">
        <f t="shared" si="13"/>
        <v>2750</v>
      </c>
      <c r="J28" s="13">
        <f t="shared" si="13"/>
        <v>3650</v>
      </c>
      <c r="K28" s="9">
        <f>J28-E28</f>
        <v>900</v>
      </c>
      <c r="L28" s="1">
        <f>IF(E28&lt;&gt;0,K28/E28,"")</f>
        <v>0.32727272727272727</v>
      </c>
      <c r="M28" s="9">
        <f>J28-F28</f>
        <v>-425.44000000000051</v>
      </c>
      <c r="N28" s="1">
        <f>IF(F28&lt;&gt;0,M28/F28,"")</f>
        <v>-0.10439118230178838</v>
      </c>
      <c r="P28" s="13">
        <f>P23+P26</f>
        <v>3194.1525000000001</v>
      </c>
    </row>
    <row r="29" spans="1:16" x14ac:dyDescent="0.45">
      <c r="H29" s="1"/>
    </row>
    <row r="30" spans="1:16" x14ac:dyDescent="0.45">
      <c r="A30" t="s">
        <v>55</v>
      </c>
      <c r="B30">
        <v>5300</v>
      </c>
      <c r="C30" t="s">
        <v>56</v>
      </c>
      <c r="H30" s="1"/>
    </row>
    <row r="31" spans="1:16" x14ac:dyDescent="0.45">
      <c r="C31" t="s">
        <v>57</v>
      </c>
      <c r="E31" s="5">
        <v>195668</v>
      </c>
      <c r="F31" s="5">
        <v>197217.17</v>
      </c>
      <c r="G31" s="8">
        <f t="shared" si="5"/>
        <v>-1549.1700000000128</v>
      </c>
      <c r="H31" s="1">
        <f t="shared" si="7"/>
        <v>1.0079173395751988</v>
      </c>
      <c r="I31" s="5">
        <v>304904</v>
      </c>
      <c r="J31" s="5">
        <v>304904</v>
      </c>
      <c r="K31" s="9">
        <f>J31-E31</f>
        <v>109236</v>
      </c>
      <c r="L31" s="1">
        <f>IF(E31&lt;&gt;0,K31/E31,"")</f>
        <v>0.55827217531737428</v>
      </c>
      <c r="M31" s="9">
        <f>J31-F31</f>
        <v>107686.82999999999</v>
      </c>
      <c r="N31" s="1">
        <f>IF(F31&lt;&gt;0,M31/F31,"")</f>
        <v>0.5460317172181306</v>
      </c>
      <c r="O31" s="1">
        <v>0.2</v>
      </c>
      <c r="P31" s="5">
        <f>(1+O31)*F31</f>
        <v>236660.60399999999</v>
      </c>
    </row>
    <row r="32" spans="1:16" x14ac:dyDescent="0.45">
      <c r="C32" t="s">
        <v>58</v>
      </c>
      <c r="E32" s="5">
        <v>0</v>
      </c>
      <c r="G32" s="8">
        <f t="shared" si="5"/>
        <v>0</v>
      </c>
      <c r="H32" s="1" t="str">
        <f t="shared" si="7"/>
        <v/>
      </c>
      <c r="I32" s="5">
        <v>49587</v>
      </c>
      <c r="J32" s="5">
        <v>49587</v>
      </c>
      <c r="K32" s="9">
        <f>J32-E32</f>
        <v>49587</v>
      </c>
      <c r="L32" s="1" t="str">
        <f>IF(E32&lt;&gt;0,K32/E32,"")</f>
        <v/>
      </c>
      <c r="M32" s="9">
        <f>J32-F32</f>
        <v>49587</v>
      </c>
      <c r="N32" s="1" t="str">
        <f>IF(F32&lt;&gt;0,M32/F32,"")</f>
        <v/>
      </c>
      <c r="P32" s="5">
        <f>(1+O32)*F32</f>
        <v>0</v>
      </c>
    </row>
    <row r="33" spans="1:16" x14ac:dyDescent="0.45">
      <c r="C33" t="s">
        <v>59</v>
      </c>
      <c r="E33" s="5">
        <f>SUM(E31:E32)</f>
        <v>195668</v>
      </c>
      <c r="F33" s="5">
        <f t="shared" ref="F33:J33" si="14">SUM(F31:F32)</f>
        <v>197217.17</v>
      </c>
      <c r="G33" s="8">
        <f t="shared" si="5"/>
        <v>-1549.1700000000128</v>
      </c>
      <c r="H33" s="1">
        <f t="shared" si="7"/>
        <v>1.0079173395751988</v>
      </c>
      <c r="I33" s="5">
        <f t="shared" si="14"/>
        <v>354491</v>
      </c>
      <c r="J33" s="13">
        <f t="shared" si="14"/>
        <v>354491</v>
      </c>
      <c r="K33" s="9">
        <f>J33-E33</f>
        <v>158823</v>
      </c>
      <c r="L33" s="1">
        <f>IF(E33&lt;&gt;0,K33/E33,"")</f>
        <v>0.81169634278471692</v>
      </c>
      <c r="M33" s="9">
        <f>J33-F33</f>
        <v>157273.82999999999</v>
      </c>
      <c r="N33" s="1">
        <f>IF(F33&lt;&gt;0,M33/F33,"")</f>
        <v>0.79746520041840163</v>
      </c>
      <c r="P33" s="13">
        <f t="shared" ref="P33" si="15">SUM(P31:P32)</f>
        <v>236660.60399999999</v>
      </c>
    </row>
    <row r="34" spans="1:16" x14ac:dyDescent="0.45">
      <c r="H34" s="1"/>
    </row>
    <row r="35" spans="1:16" x14ac:dyDescent="0.45">
      <c r="C35" t="s">
        <v>55</v>
      </c>
      <c r="E35" s="5">
        <f>E33</f>
        <v>195668</v>
      </c>
      <c r="F35" s="5">
        <f t="shared" ref="F35:J35" si="16">F33</f>
        <v>197217.17</v>
      </c>
      <c r="G35" s="8">
        <f t="shared" si="5"/>
        <v>-1549.1700000000128</v>
      </c>
      <c r="H35" s="1">
        <f t="shared" si="7"/>
        <v>1.0079173395751988</v>
      </c>
      <c r="I35" s="5">
        <f t="shared" ref="I35" si="17">I33</f>
        <v>354491</v>
      </c>
      <c r="J35" s="13">
        <f t="shared" si="16"/>
        <v>354491</v>
      </c>
      <c r="K35" s="9">
        <f>J35-E35</f>
        <v>158823</v>
      </c>
      <c r="L35" s="1">
        <f>IF(E35&lt;&gt;0,K35/E35,"")</f>
        <v>0.81169634278471692</v>
      </c>
      <c r="M35" s="9">
        <f>J35-F35</f>
        <v>157273.82999999999</v>
      </c>
      <c r="N35" s="1">
        <f>IF(F35&lt;&gt;0,M35/F35,"")</f>
        <v>0.79746520041840163</v>
      </c>
      <c r="P35" s="13">
        <f t="shared" ref="P35" si="18">P33</f>
        <v>236660.60399999999</v>
      </c>
    </row>
    <row r="36" spans="1:16" x14ac:dyDescent="0.45">
      <c r="H36" s="1"/>
    </row>
    <row r="37" spans="1:16" x14ac:dyDescent="0.45">
      <c r="A37" t="s">
        <v>61</v>
      </c>
      <c r="B37">
        <v>5400</v>
      </c>
      <c r="C37" t="s">
        <v>62</v>
      </c>
      <c r="H37" s="1"/>
    </row>
    <row r="38" spans="1:16" x14ac:dyDescent="0.45">
      <c r="C38" t="s">
        <v>63</v>
      </c>
      <c r="E38" s="5">
        <v>0</v>
      </c>
      <c r="G38" s="8">
        <f t="shared" si="5"/>
        <v>0</v>
      </c>
      <c r="H38" s="1"/>
      <c r="I38" s="5">
        <v>2484</v>
      </c>
      <c r="J38" s="13"/>
      <c r="K38" s="9">
        <f>J38-E38</f>
        <v>0</v>
      </c>
      <c r="L38" s="1" t="str">
        <f>IF(E38&lt;&gt;0,K38/E38,"")</f>
        <v/>
      </c>
      <c r="M38" s="9">
        <f>J38-F38</f>
        <v>0</v>
      </c>
      <c r="N38" s="1" t="str">
        <f>IF(F38&lt;&gt;0,M38/F38,"")</f>
        <v/>
      </c>
      <c r="O38" s="1">
        <v>0.05</v>
      </c>
      <c r="P38" s="5">
        <f>(1+O38)*F38</f>
        <v>0</v>
      </c>
    </row>
    <row r="39" spans="1:16" x14ac:dyDescent="0.45">
      <c r="C39" t="s">
        <v>64</v>
      </c>
      <c r="D39" s="2">
        <v>0.1</v>
      </c>
      <c r="E39" s="5">
        <v>20513</v>
      </c>
      <c r="F39" s="5">
        <v>22143.61</v>
      </c>
      <c r="G39" s="8">
        <f t="shared" si="5"/>
        <v>-1630.6100000000006</v>
      </c>
      <c r="H39" s="1">
        <f t="shared" si="7"/>
        <v>1.0794915419490079</v>
      </c>
      <c r="I39" s="13">
        <v>20537</v>
      </c>
      <c r="J39" s="13">
        <v>25537</v>
      </c>
      <c r="K39" s="9">
        <f>J39-E39</f>
        <v>5024</v>
      </c>
      <c r="L39" s="1">
        <f>IF(E39&lt;&gt;0,K39/E39,"")</f>
        <v>0.24491785696875151</v>
      </c>
      <c r="M39" s="9">
        <f>J39-F39</f>
        <v>3393.3899999999994</v>
      </c>
      <c r="N39" s="1">
        <f>IF(F39&lt;&gt;0,M39/F39,"")</f>
        <v>0.15324466064927983</v>
      </c>
      <c r="O39" s="1">
        <v>0.15</v>
      </c>
      <c r="P39" s="5">
        <f>(1+O39)*F39</f>
        <v>25465.1515</v>
      </c>
    </row>
    <row r="40" spans="1:16" x14ac:dyDescent="0.45">
      <c r="C40" t="s">
        <v>65</v>
      </c>
      <c r="E40" s="5">
        <f>SUM(E38:E39)</f>
        <v>20513</v>
      </c>
      <c r="F40" s="5">
        <f t="shared" ref="F40:J40" si="19">SUM(F38:F39)</f>
        <v>22143.61</v>
      </c>
      <c r="G40" s="8">
        <f t="shared" si="5"/>
        <v>-1630.6100000000006</v>
      </c>
      <c r="H40" s="1">
        <f t="shared" si="7"/>
        <v>1.0794915419490079</v>
      </c>
      <c r="I40" s="5">
        <f t="shared" si="19"/>
        <v>23021</v>
      </c>
      <c r="J40" s="5">
        <f t="shared" si="19"/>
        <v>25537</v>
      </c>
      <c r="K40" s="9">
        <f>J40-E40</f>
        <v>5024</v>
      </c>
      <c r="L40" s="1">
        <f>IF(E40&lt;&gt;0,K40/E40,"")</f>
        <v>0.24491785696875151</v>
      </c>
      <c r="M40" s="9">
        <f>J40-F40</f>
        <v>3393.3899999999994</v>
      </c>
      <c r="P40" s="5">
        <f t="shared" ref="P40" si="20">SUM(P38:P39)</f>
        <v>25465.1515</v>
      </c>
    </row>
    <row r="41" spans="1:16" x14ac:dyDescent="0.45">
      <c r="H41" s="1"/>
    </row>
    <row r="42" spans="1:16" x14ac:dyDescent="0.45">
      <c r="C42" t="s">
        <v>66</v>
      </c>
      <c r="E42" s="5">
        <f>E40</f>
        <v>20513</v>
      </c>
      <c r="F42" s="5">
        <f t="shared" ref="F42:J42" si="21">F40</f>
        <v>22143.61</v>
      </c>
      <c r="G42" s="8">
        <f t="shared" si="5"/>
        <v>-1630.6100000000006</v>
      </c>
      <c r="H42" s="1">
        <f t="shared" si="7"/>
        <v>1.0794915419490079</v>
      </c>
      <c r="I42" s="5">
        <f t="shared" ref="I42" si="22">I40</f>
        <v>23021</v>
      </c>
      <c r="J42" s="5">
        <f t="shared" si="21"/>
        <v>25537</v>
      </c>
      <c r="K42" s="9">
        <f>J42-E42</f>
        <v>5024</v>
      </c>
      <c r="L42" s="1">
        <f>IF(E42&lt;&gt;0,K42/E42,"")</f>
        <v>0.24491785696875151</v>
      </c>
      <c r="M42" s="9">
        <f>J42-F42</f>
        <v>3393.3899999999994</v>
      </c>
      <c r="N42" s="1">
        <f>IF(F42&lt;&gt;0,M42/F42,"")</f>
        <v>0.15324466064927983</v>
      </c>
      <c r="P42" s="5">
        <f t="shared" ref="P42" si="23">P40</f>
        <v>25465.1515</v>
      </c>
    </row>
    <row r="43" spans="1:16" x14ac:dyDescent="0.45">
      <c r="H43" s="1"/>
    </row>
    <row r="44" spans="1:16" x14ac:dyDescent="0.45">
      <c r="A44" t="s">
        <v>67</v>
      </c>
      <c r="B44">
        <v>6035</v>
      </c>
      <c r="C44" t="s">
        <v>68</v>
      </c>
      <c r="H44" s="1"/>
    </row>
    <row r="45" spans="1:16" x14ac:dyDescent="0.45">
      <c r="C45" t="s">
        <v>69</v>
      </c>
      <c r="E45" s="5">
        <v>4286</v>
      </c>
      <c r="G45" s="8">
        <f t="shared" si="5"/>
        <v>4286</v>
      </c>
      <c r="H45" s="1">
        <f t="shared" si="7"/>
        <v>0</v>
      </c>
      <c r="I45" s="5">
        <v>4286</v>
      </c>
      <c r="J45" s="16">
        <v>4286</v>
      </c>
      <c r="K45" s="9">
        <f>J45-E45</f>
        <v>0</v>
      </c>
      <c r="L45" s="1">
        <f>IF(E45&lt;&gt;0,K45/E45,"")</f>
        <v>0</v>
      </c>
      <c r="M45" s="9">
        <f>J45-F45</f>
        <v>4286</v>
      </c>
      <c r="N45" s="1" t="str">
        <f>IF(F45&lt;&gt;0,M45/F45,"")</f>
        <v/>
      </c>
      <c r="O45"/>
      <c r="P45" s="5">
        <v>4300</v>
      </c>
    </row>
    <row r="46" spans="1:16" x14ac:dyDescent="0.45">
      <c r="C46" t="s">
        <v>70</v>
      </c>
      <c r="E46" s="5">
        <v>4286</v>
      </c>
      <c r="G46" s="8">
        <f t="shared" si="5"/>
        <v>4286</v>
      </c>
      <c r="H46" s="1">
        <f t="shared" si="7"/>
        <v>0</v>
      </c>
      <c r="I46" s="5">
        <v>4286</v>
      </c>
      <c r="J46" s="16">
        <v>4286</v>
      </c>
      <c r="K46" s="9">
        <f>J46-E46</f>
        <v>0</v>
      </c>
      <c r="L46" s="1">
        <f>IF(E46&lt;&gt;0,K46/E46,"")</f>
        <v>0</v>
      </c>
      <c r="M46" s="9">
        <f>J46-F46</f>
        <v>4286</v>
      </c>
      <c r="N46" s="1" t="str">
        <f>IF(F46&lt;&gt;0,M46/F46,"")</f>
        <v/>
      </c>
      <c r="O46"/>
      <c r="P46" s="5">
        <v>4300</v>
      </c>
    </row>
    <row r="47" spans="1:16" x14ac:dyDescent="0.45">
      <c r="C47" t="s">
        <v>71</v>
      </c>
      <c r="E47" s="5">
        <v>8737</v>
      </c>
      <c r="G47" s="8">
        <f t="shared" si="5"/>
        <v>8737</v>
      </c>
      <c r="H47" s="1">
        <f t="shared" si="7"/>
        <v>0</v>
      </c>
      <c r="I47" s="5">
        <v>8737</v>
      </c>
      <c r="J47" s="16">
        <v>8737</v>
      </c>
      <c r="K47" s="9">
        <f>J47-E47</f>
        <v>0</v>
      </c>
      <c r="L47" s="1">
        <f>IF(E47&lt;&gt;0,K47/E47,"")</f>
        <v>0</v>
      </c>
      <c r="M47" s="9">
        <f>J47-F47</f>
        <v>8737</v>
      </c>
      <c r="N47" s="1" t="str">
        <f>IF(F47&lt;&gt;0,M47/F47,"")</f>
        <v/>
      </c>
      <c r="O47"/>
      <c r="P47" s="5">
        <v>9000</v>
      </c>
    </row>
    <row r="48" spans="1:16" x14ac:dyDescent="0.45">
      <c r="C48" t="s">
        <v>72</v>
      </c>
      <c r="E48" s="5">
        <v>22575</v>
      </c>
      <c r="G48" s="8">
        <f t="shared" si="5"/>
        <v>22575</v>
      </c>
      <c r="H48" s="1">
        <f t="shared" si="7"/>
        <v>0</v>
      </c>
      <c r="I48" s="5">
        <v>22575</v>
      </c>
      <c r="J48" s="16">
        <v>22575</v>
      </c>
      <c r="K48" s="9">
        <f>J48-E48</f>
        <v>0</v>
      </c>
      <c r="L48" s="1">
        <f>IF(E48&lt;&gt;0,K48/E48,"")</f>
        <v>0</v>
      </c>
      <c r="M48" s="9">
        <f>J48-F48</f>
        <v>22575</v>
      </c>
      <c r="N48" s="1" t="str">
        <f>IF(F48&lt;&gt;0,M48/F48,"")</f>
        <v/>
      </c>
      <c r="O48"/>
      <c r="P48" s="5">
        <v>23000</v>
      </c>
    </row>
    <row r="49" spans="2:16" x14ac:dyDescent="0.45">
      <c r="C49" t="s">
        <v>73</v>
      </c>
      <c r="E49" s="5">
        <f>SUM(E45:E48)</f>
        <v>39884</v>
      </c>
      <c r="F49" s="5">
        <v>31061.74</v>
      </c>
      <c r="G49" s="8">
        <f t="shared" si="5"/>
        <v>8822.2599999999984</v>
      </c>
      <c r="H49" s="1">
        <f t="shared" si="7"/>
        <v>0.77880202587503766</v>
      </c>
      <c r="I49" s="13">
        <f>SUM(I45:I48)</f>
        <v>39884</v>
      </c>
      <c r="J49" s="11">
        <v>33585</v>
      </c>
      <c r="K49" s="9">
        <f>J49-E49</f>
        <v>-6299</v>
      </c>
      <c r="L49" s="1">
        <f>IF(E49&lt;&gt;0,K49/E49,"")</f>
        <v>-0.15793300571657809</v>
      </c>
      <c r="M49" s="9">
        <f>J49-F49</f>
        <v>2523.2599999999984</v>
      </c>
      <c r="N49" s="1">
        <f>IF(F49&lt;&gt;0,M49/F49,"")</f>
        <v>8.1233697790271842E-2</v>
      </c>
      <c r="O49"/>
      <c r="P49" s="13">
        <f>SUM(P45:P48)</f>
        <v>40600</v>
      </c>
    </row>
    <row r="50" spans="2:16" x14ac:dyDescent="0.45">
      <c r="H50" s="1"/>
    </row>
    <row r="51" spans="2:16" x14ac:dyDescent="0.45">
      <c r="B51">
        <v>6080</v>
      </c>
      <c r="C51" t="s">
        <v>74</v>
      </c>
      <c r="H51" s="1"/>
    </row>
    <row r="52" spans="2:16" x14ac:dyDescent="0.45">
      <c r="C52" t="s">
        <v>75</v>
      </c>
      <c r="E52" s="5">
        <v>13389</v>
      </c>
      <c r="F52" s="5">
        <v>16013.29</v>
      </c>
      <c r="G52" s="8">
        <f t="shared" si="5"/>
        <v>-2624.2900000000009</v>
      </c>
      <c r="H52" s="1">
        <f t="shared" si="7"/>
        <v>1.1960034356561358</v>
      </c>
      <c r="I52" s="5">
        <v>13389</v>
      </c>
      <c r="J52" s="5">
        <v>13389</v>
      </c>
      <c r="K52" s="9">
        <f>J52-E52</f>
        <v>0</v>
      </c>
      <c r="L52" s="1">
        <f>IF(E52&lt;&gt;0,K52/E52,"")</f>
        <v>0</v>
      </c>
      <c r="M52" s="9">
        <f>J52-F52</f>
        <v>-2624.2900000000009</v>
      </c>
      <c r="N52" s="1">
        <f>IF(F52&lt;&gt;0,M52/F52,"")</f>
        <v>-0.16388200051332366</v>
      </c>
      <c r="P52" s="5">
        <v>13389</v>
      </c>
    </row>
    <row r="53" spans="2:16" x14ac:dyDescent="0.45">
      <c r="C53" t="s">
        <v>76</v>
      </c>
      <c r="E53" s="5">
        <f>SUM(E52:E52)</f>
        <v>13389</v>
      </c>
      <c r="F53" s="5">
        <f t="shared" ref="F53:J53" si="24">SUM(F52:F52)</f>
        <v>16013.29</v>
      </c>
      <c r="G53" s="8">
        <f t="shared" si="5"/>
        <v>-2624.2900000000009</v>
      </c>
      <c r="H53" s="1">
        <f t="shared" si="7"/>
        <v>1.1960034356561358</v>
      </c>
      <c r="I53" s="5">
        <f t="shared" si="24"/>
        <v>13389</v>
      </c>
      <c r="J53" s="5">
        <f t="shared" si="24"/>
        <v>13389</v>
      </c>
      <c r="K53" s="9">
        <f>J53-E53</f>
        <v>0</v>
      </c>
      <c r="L53" s="1">
        <f>IF(E53&lt;&gt;0,K53/E53,"")</f>
        <v>0</v>
      </c>
      <c r="M53" s="9">
        <f>J53-F53</f>
        <v>-2624.2900000000009</v>
      </c>
      <c r="N53" s="1">
        <f>IF(F53&lt;&gt;0,M53/F53,"")</f>
        <v>-0.16388200051332366</v>
      </c>
      <c r="P53" s="5">
        <f t="shared" ref="P53" si="25">SUM(P52:P52)</f>
        <v>13389</v>
      </c>
    </row>
    <row r="54" spans="2:16" x14ac:dyDescent="0.45">
      <c r="H54" s="1"/>
    </row>
    <row r="55" spans="2:16" x14ac:dyDescent="0.45">
      <c r="B55">
        <v>6000</v>
      </c>
      <c r="C55" t="s">
        <v>77</v>
      </c>
      <c r="H55" s="1"/>
    </row>
    <row r="56" spans="2:16" x14ac:dyDescent="0.45">
      <c r="C56" t="s">
        <v>78</v>
      </c>
      <c r="E56" s="5">
        <v>19500</v>
      </c>
      <c r="G56" s="8">
        <f t="shared" si="5"/>
        <v>19500</v>
      </c>
      <c r="H56" s="1">
        <f t="shared" si="7"/>
        <v>0</v>
      </c>
      <c r="I56" s="5">
        <v>20000</v>
      </c>
      <c r="J56" s="5">
        <v>20000</v>
      </c>
      <c r="K56" s="9">
        <f>J56-E56</f>
        <v>500</v>
      </c>
      <c r="L56" s="1">
        <f>IF(E56&lt;&gt;0,K56/E56,"")</f>
        <v>2.564102564102564E-2</v>
      </c>
      <c r="M56" s="9">
        <f>J56-F56</f>
        <v>20000</v>
      </c>
      <c r="N56" s="1" t="str">
        <f>IF(F56&lt;&gt;0,M56/F56,"")</f>
        <v/>
      </c>
      <c r="O56"/>
      <c r="P56" s="5">
        <v>20000</v>
      </c>
    </row>
    <row r="57" spans="2:16" x14ac:dyDescent="0.45">
      <c r="C57" t="s">
        <v>79</v>
      </c>
      <c r="E57" s="5">
        <v>36200</v>
      </c>
      <c r="G57" s="8">
        <f t="shared" si="5"/>
        <v>36200</v>
      </c>
      <c r="H57" s="1">
        <f t="shared" si="7"/>
        <v>0</v>
      </c>
      <c r="I57" s="5">
        <v>37000</v>
      </c>
      <c r="J57" s="5">
        <v>37000</v>
      </c>
      <c r="K57" s="9">
        <f>J57-E57</f>
        <v>800</v>
      </c>
      <c r="L57" s="1">
        <f>IF(E57&lt;&gt;0,K57/E57,"")</f>
        <v>2.2099447513812154E-2</v>
      </c>
      <c r="M57" s="9">
        <f>J57-F57</f>
        <v>37000</v>
      </c>
      <c r="N57" s="1" t="str">
        <f>IF(F57&lt;&gt;0,M57/F57,"")</f>
        <v/>
      </c>
      <c r="O57"/>
      <c r="P57" s="5">
        <v>37000</v>
      </c>
    </row>
    <row r="58" spans="2:16" x14ac:dyDescent="0.45">
      <c r="C58" t="s">
        <v>80</v>
      </c>
      <c r="E58" s="5">
        <v>300</v>
      </c>
      <c r="G58" s="8">
        <f t="shared" si="5"/>
        <v>300</v>
      </c>
      <c r="H58" s="1">
        <f t="shared" si="7"/>
        <v>0</v>
      </c>
      <c r="I58" s="5">
        <v>600</v>
      </c>
      <c r="J58" s="5">
        <v>600</v>
      </c>
      <c r="K58" s="9">
        <f>J58-E58</f>
        <v>300</v>
      </c>
      <c r="L58" s="1">
        <f>IF(E58&lt;&gt;0,K58/E58,"")</f>
        <v>1</v>
      </c>
      <c r="M58" s="9">
        <f>J58-F58</f>
        <v>600</v>
      </c>
      <c r="N58" s="1" t="str">
        <f>IF(F58&lt;&gt;0,M58/F58,"")</f>
        <v/>
      </c>
      <c r="O58"/>
      <c r="P58" s="5">
        <v>600</v>
      </c>
    </row>
    <row r="59" spans="2:16" x14ac:dyDescent="0.45">
      <c r="C59" t="s">
        <v>81</v>
      </c>
      <c r="E59" s="5">
        <f>SUM(E56:E58)</f>
        <v>56000</v>
      </c>
      <c r="F59" s="5">
        <v>57727.05</v>
      </c>
      <c r="G59" s="8">
        <f t="shared" si="5"/>
        <v>-1727.0500000000029</v>
      </c>
      <c r="H59" s="1">
        <f t="shared" si="7"/>
        <v>1.0308401785714287</v>
      </c>
      <c r="I59" s="5">
        <f t="shared" ref="I59:J59" si="26">SUM(I56:I58)</f>
        <v>57600</v>
      </c>
      <c r="J59" s="5">
        <f t="shared" si="26"/>
        <v>57600</v>
      </c>
      <c r="K59" s="9">
        <f>J59-E59</f>
        <v>1600</v>
      </c>
      <c r="L59" s="1">
        <f>IF(E59&lt;&gt;0,K59/E59,"")</f>
        <v>2.8571428571428571E-2</v>
      </c>
      <c r="M59" s="9">
        <f>J59-F59</f>
        <v>-127.05000000000291</v>
      </c>
      <c r="N59" s="1">
        <f>IF(F59&lt;&gt;0,M59/F59,"")</f>
        <v>-2.2008746332958795E-3</v>
      </c>
      <c r="O59"/>
      <c r="P59" s="5">
        <f t="shared" ref="P59" si="27">SUM(P56:P58)</f>
        <v>57600</v>
      </c>
    </row>
    <row r="60" spans="2:16" x14ac:dyDescent="0.45">
      <c r="H60" s="1"/>
    </row>
    <row r="61" spans="2:16" x14ac:dyDescent="0.45">
      <c r="B61">
        <v>6444</v>
      </c>
      <c r="C61" t="s">
        <v>82</v>
      </c>
      <c r="H61" s="1"/>
      <c r="K61" s="9">
        <f>J61-E61</f>
        <v>0</v>
      </c>
    </row>
    <row r="62" spans="2:16" x14ac:dyDescent="0.45">
      <c r="C62" t="s">
        <v>128</v>
      </c>
      <c r="E62" s="5">
        <v>6000</v>
      </c>
      <c r="G62" s="8">
        <f t="shared" si="5"/>
        <v>6000</v>
      </c>
      <c r="H62" s="1">
        <f t="shared" si="7"/>
        <v>0</v>
      </c>
      <c r="I62" s="5">
        <v>7200</v>
      </c>
      <c r="J62" s="5">
        <v>7200</v>
      </c>
      <c r="K62" s="9">
        <f>J62-E62</f>
        <v>1200</v>
      </c>
      <c r="L62" s="1">
        <f>IF(E62&lt;&gt;0,K62/E62,"")</f>
        <v>0.2</v>
      </c>
      <c r="M62" s="9">
        <f>J62-F62</f>
        <v>7200</v>
      </c>
      <c r="N62" s="1" t="str">
        <f>IF(F62&lt;&gt;0,M62/F62,"")</f>
        <v/>
      </c>
      <c r="O62"/>
      <c r="P62" s="5">
        <v>7200</v>
      </c>
    </row>
    <row r="63" spans="2:16" x14ac:dyDescent="0.45">
      <c r="C63" t="s">
        <v>83</v>
      </c>
      <c r="G63" s="8">
        <f t="shared" si="5"/>
        <v>0</v>
      </c>
      <c r="H63" s="1" t="str">
        <f t="shared" si="7"/>
        <v/>
      </c>
      <c r="I63" s="5">
        <v>6000</v>
      </c>
      <c r="J63" s="5">
        <v>6000</v>
      </c>
      <c r="K63" s="9">
        <f>J63-E63</f>
        <v>6000</v>
      </c>
      <c r="L63" s="1" t="str">
        <f>IF(E63&lt;&gt;0,K63/E63,"")</f>
        <v/>
      </c>
      <c r="M63" s="9">
        <f>J63-F63</f>
        <v>6000</v>
      </c>
      <c r="N63" s="1" t="str">
        <f>IF(F63&lt;&gt;0,M63/F63,"")</f>
        <v/>
      </c>
      <c r="O63"/>
      <c r="P63" s="5">
        <v>6000</v>
      </c>
    </row>
    <row r="64" spans="2:16" x14ac:dyDescent="0.45">
      <c r="C64" t="s">
        <v>84</v>
      </c>
      <c r="E64" s="5">
        <v>8400</v>
      </c>
      <c r="G64" s="8">
        <f t="shared" si="5"/>
        <v>8400</v>
      </c>
      <c r="H64" s="1">
        <f t="shared" si="7"/>
        <v>0</v>
      </c>
      <c r="I64" s="5">
        <v>3600</v>
      </c>
      <c r="J64" s="5">
        <v>3600</v>
      </c>
      <c r="K64" s="9">
        <f>J64-E64</f>
        <v>-4800</v>
      </c>
      <c r="L64" s="1">
        <f>IF(E64&lt;&gt;0,K64/E64,"")</f>
        <v>-0.5714285714285714</v>
      </c>
      <c r="M64" s="9">
        <f>J64-F64</f>
        <v>3600</v>
      </c>
      <c r="N64" s="1" t="str">
        <f>IF(F64&lt;&gt;0,M64/F64,"")</f>
        <v/>
      </c>
      <c r="O64"/>
      <c r="P64" s="5">
        <v>3600</v>
      </c>
    </row>
    <row r="65" spans="1:16" x14ac:dyDescent="0.45">
      <c r="C65" t="s">
        <v>85</v>
      </c>
      <c r="E65" s="5">
        <f>SUM(E62:E64)</f>
        <v>14400</v>
      </c>
      <c r="F65" s="5">
        <v>17375.73</v>
      </c>
      <c r="G65" s="8">
        <f t="shared" si="5"/>
        <v>-2975.7299999999996</v>
      </c>
      <c r="H65" s="1">
        <f t="shared" si="7"/>
        <v>1.2066479166666666</v>
      </c>
      <c r="I65" s="5">
        <f t="shared" ref="I65:J65" si="28">SUM(I62:I64)</f>
        <v>16800</v>
      </c>
      <c r="J65" s="5">
        <f t="shared" si="28"/>
        <v>16800</v>
      </c>
      <c r="K65" s="9">
        <f>J65-E65</f>
        <v>2400</v>
      </c>
      <c r="L65" s="1">
        <f>IF(E65&lt;&gt;0,K65/E65,"")</f>
        <v>0.16666666666666666</v>
      </c>
      <c r="M65" s="9">
        <f>J65-F65</f>
        <v>-575.72999999999956</v>
      </c>
      <c r="N65" s="1">
        <f>IF(F65&lt;&gt;0,M65/F65,"")</f>
        <v>-3.3134147457401765E-2</v>
      </c>
      <c r="O65"/>
      <c r="P65" s="5">
        <f t="shared" ref="P65" si="29">SUM(P62:P64)</f>
        <v>16800</v>
      </c>
    </row>
    <row r="66" spans="1:16" x14ac:dyDescent="0.45">
      <c r="H66" s="1"/>
    </row>
    <row r="67" spans="1:16" x14ac:dyDescent="0.45">
      <c r="B67">
        <v>6060</v>
      </c>
      <c r="C67" t="s">
        <v>86</v>
      </c>
      <c r="H67" s="1"/>
    </row>
    <row r="68" spans="1:16" x14ac:dyDescent="0.45">
      <c r="C68" t="s">
        <v>87</v>
      </c>
      <c r="E68" s="5">
        <v>16938</v>
      </c>
      <c r="F68" s="5">
        <v>8520.94</v>
      </c>
      <c r="G68" s="8">
        <f t="shared" si="5"/>
        <v>8417.06</v>
      </c>
      <c r="H68" s="1">
        <f t="shared" si="7"/>
        <v>0.50306647774235447</v>
      </c>
      <c r="I68" s="5">
        <v>16938</v>
      </c>
      <c r="J68" s="5">
        <v>16938</v>
      </c>
      <c r="K68" s="9">
        <f>J68-E68</f>
        <v>0</v>
      </c>
      <c r="L68" s="1">
        <f>IF(E68&lt;&gt;0,K68/E68,"")</f>
        <v>0</v>
      </c>
      <c r="M68" s="9">
        <f>J68-F68</f>
        <v>8417.06</v>
      </c>
      <c r="N68" s="1">
        <f>IF(F68&lt;&gt;0,M68/F68,"")</f>
        <v>0.98780885676932351</v>
      </c>
      <c r="O68" s="1">
        <v>0.3</v>
      </c>
      <c r="P68" s="5">
        <f>(1+O68)*F68</f>
        <v>11077.222000000002</v>
      </c>
    </row>
    <row r="69" spans="1:16" x14ac:dyDescent="0.45">
      <c r="C69" t="s">
        <v>88</v>
      </c>
      <c r="E69" s="5">
        <f>E68</f>
        <v>16938</v>
      </c>
      <c r="F69" s="5">
        <f t="shared" ref="F69:J69" si="30">F68</f>
        <v>8520.94</v>
      </c>
      <c r="G69" s="8">
        <f t="shared" si="5"/>
        <v>8417.06</v>
      </c>
      <c r="H69" s="1">
        <f t="shared" si="7"/>
        <v>0.50306647774235447</v>
      </c>
      <c r="I69" s="5">
        <f t="shared" si="30"/>
        <v>16938</v>
      </c>
      <c r="J69" s="5">
        <f t="shared" si="30"/>
        <v>16938</v>
      </c>
      <c r="K69" s="9">
        <f>J69-E69</f>
        <v>0</v>
      </c>
      <c r="L69" s="1">
        <f>IF(E69&lt;&gt;0,K69/E69,"")</f>
        <v>0</v>
      </c>
      <c r="M69" s="9">
        <f>J69-F69</f>
        <v>8417.06</v>
      </c>
      <c r="N69" s="1">
        <f>IF(F69&lt;&gt;0,M69/F69,"")</f>
        <v>0.98780885676932351</v>
      </c>
      <c r="P69" s="5">
        <f t="shared" ref="P69" si="31">P68</f>
        <v>11077.222000000002</v>
      </c>
    </row>
    <row r="70" spans="1:16" x14ac:dyDescent="0.45">
      <c r="H70" s="1"/>
    </row>
    <row r="71" spans="1:16" x14ac:dyDescent="0.45">
      <c r="B71">
        <v>6050</v>
      </c>
      <c r="C71" t="s">
        <v>89</v>
      </c>
      <c r="H71" s="1"/>
      <c r="N71" s="1" t="str">
        <f>IF(F71&lt;&gt;0,M71/F71,"")</f>
        <v/>
      </c>
    </row>
    <row r="72" spans="1:16" x14ac:dyDescent="0.45">
      <c r="C72" t="s">
        <v>90</v>
      </c>
      <c r="E72" s="5">
        <v>4800</v>
      </c>
      <c r="G72" s="8">
        <f t="shared" si="5"/>
        <v>4800</v>
      </c>
      <c r="H72" s="1">
        <f t="shared" si="7"/>
        <v>0</v>
      </c>
      <c r="I72" s="5">
        <v>4800</v>
      </c>
      <c r="J72" s="5">
        <v>4800</v>
      </c>
      <c r="K72" s="9">
        <f>J72-E72</f>
        <v>0</v>
      </c>
      <c r="L72" s="1">
        <f>IF(E72&lt;&gt;0,K72/E72,"")</f>
        <v>0</v>
      </c>
      <c r="M72" s="9">
        <f>J72-F72</f>
        <v>4800</v>
      </c>
      <c r="N72" s="1" t="str">
        <f>IF(F72&lt;&gt;0,M72/F72,"")</f>
        <v/>
      </c>
      <c r="O72" s="1">
        <v>0.05</v>
      </c>
      <c r="P72" s="5">
        <v>4800</v>
      </c>
    </row>
    <row r="73" spans="1:16" x14ac:dyDescent="0.45">
      <c r="C73" t="s">
        <v>91</v>
      </c>
      <c r="E73" s="5">
        <v>1800</v>
      </c>
      <c r="G73" s="8">
        <f t="shared" si="5"/>
        <v>1800</v>
      </c>
      <c r="H73" s="1">
        <f t="shared" si="7"/>
        <v>0</v>
      </c>
      <c r="I73" s="5">
        <v>1800</v>
      </c>
      <c r="J73" s="5">
        <v>1800</v>
      </c>
      <c r="K73" s="9">
        <f>J73-E73</f>
        <v>0</v>
      </c>
      <c r="L73" s="1">
        <f>IF(E73&lt;&gt;0,K73/E73,"")</f>
        <v>0</v>
      </c>
      <c r="M73" s="9">
        <f>J73-F73</f>
        <v>1800</v>
      </c>
      <c r="N73" s="1" t="str">
        <f>IF(F73&lt;&gt;0,M73/F73,"")</f>
        <v/>
      </c>
      <c r="O73" s="1">
        <v>0.05</v>
      </c>
      <c r="P73" s="5">
        <v>900</v>
      </c>
    </row>
    <row r="74" spans="1:16" x14ac:dyDescent="0.45">
      <c r="C74" t="s">
        <v>92</v>
      </c>
      <c r="E74" s="5">
        <v>1200</v>
      </c>
      <c r="G74" s="8">
        <f t="shared" si="5"/>
        <v>1200</v>
      </c>
      <c r="H74" s="1">
        <f t="shared" si="7"/>
        <v>0</v>
      </c>
      <c r="I74" s="5">
        <v>1200</v>
      </c>
      <c r="J74" s="5">
        <v>1200</v>
      </c>
      <c r="K74" s="9">
        <f>J74-E74</f>
        <v>0</v>
      </c>
      <c r="L74" s="1">
        <f>IF(E74&lt;&gt;0,K74/E74,"")</f>
        <v>0</v>
      </c>
      <c r="M74" s="9">
        <f>J74-F74</f>
        <v>1200</v>
      </c>
      <c r="N74" s="1" t="str">
        <f>IF(F74&lt;&gt;0,M74/F74,"")</f>
        <v/>
      </c>
      <c r="O74" s="1">
        <v>0.05</v>
      </c>
      <c r="P74" s="5">
        <v>1500</v>
      </c>
    </row>
    <row r="75" spans="1:16" x14ac:dyDescent="0.45">
      <c r="C75" t="s">
        <v>93</v>
      </c>
      <c r="E75" s="5">
        <f>SUM(E72:E74)</f>
        <v>7800</v>
      </c>
      <c r="F75" s="5">
        <v>6277.09</v>
      </c>
      <c r="G75" s="8">
        <f t="shared" si="5"/>
        <v>1522.9099999999999</v>
      </c>
      <c r="H75" s="1">
        <f t="shared" si="7"/>
        <v>0.80475512820512818</v>
      </c>
      <c r="I75" s="5">
        <f t="shared" ref="I75:J75" si="32">SUM(I72:I74)</f>
        <v>7800</v>
      </c>
      <c r="J75" s="5">
        <f t="shared" si="32"/>
        <v>7800</v>
      </c>
      <c r="K75" s="9">
        <f>J75-E75</f>
        <v>0</v>
      </c>
      <c r="L75" s="1">
        <f>IF(E75&lt;&gt;0,K75/E75,"")</f>
        <v>0</v>
      </c>
      <c r="M75" s="9">
        <f>J75-F75</f>
        <v>1522.9099999999999</v>
      </c>
      <c r="N75" s="1">
        <f>IF(F75&lt;&gt;0,M75/F75,"")</f>
        <v>0.24261401381850503</v>
      </c>
      <c r="O75" s="1">
        <v>0.05</v>
      </c>
      <c r="P75" s="5">
        <f t="shared" ref="P75" si="33">SUM(P72:P74)</f>
        <v>7200</v>
      </c>
    </row>
    <row r="76" spans="1:16" x14ac:dyDescent="0.45">
      <c r="H76" s="1"/>
    </row>
    <row r="77" spans="1:16" x14ac:dyDescent="0.45">
      <c r="C77" t="s">
        <v>94</v>
      </c>
      <c r="E77" s="5">
        <f>E49+E53+E59+E65+E69+E75</f>
        <v>148411</v>
      </c>
      <c r="F77" s="5">
        <f t="shared" ref="F77:J77" si="34">F49+F53+F59+F65+F69+F75</f>
        <v>136975.84</v>
      </c>
      <c r="G77" s="8">
        <f t="shared" ref="G77:G140" si="35">E77-F77</f>
        <v>11435.160000000003</v>
      </c>
      <c r="H77" s="1">
        <f t="shared" ref="H77:H136" si="36">IF(E77&lt;&gt;0,F77/E77,"")</f>
        <v>0.9229493770677375</v>
      </c>
      <c r="I77" s="5">
        <f t="shared" ref="I77" si="37">I49+I53+I59+I65+I69+I75</f>
        <v>152411</v>
      </c>
      <c r="J77" s="5">
        <f t="shared" si="34"/>
        <v>146112</v>
      </c>
      <c r="K77" s="9">
        <f>J77-E77</f>
        <v>-2299</v>
      </c>
      <c r="L77" s="1">
        <f>IF(E77&lt;&gt;0,K77/E77,"")</f>
        <v>-1.5490765509295134E-2</v>
      </c>
      <c r="M77" s="9">
        <f>J77-F77</f>
        <v>9136.1600000000035</v>
      </c>
      <c r="N77" s="1">
        <f>IF(F77&lt;&gt;0,M77/F77,"")</f>
        <v>6.6699061673941948E-2</v>
      </c>
      <c r="P77" s="5">
        <f t="shared" ref="P77" si="38">P49+P53+P59+P65+P69+P75</f>
        <v>146666.22200000001</v>
      </c>
    </row>
    <row r="78" spans="1:16" x14ac:dyDescent="0.45">
      <c r="H78" s="1"/>
    </row>
    <row r="79" spans="1:16" x14ac:dyDescent="0.45">
      <c r="A79" t="s">
        <v>95</v>
      </c>
      <c r="B79">
        <v>6110</v>
      </c>
      <c r="C79" t="s">
        <v>96</v>
      </c>
      <c r="H79" s="1"/>
    </row>
    <row r="80" spans="1:16" x14ac:dyDescent="0.45">
      <c r="C80" t="s">
        <v>97</v>
      </c>
      <c r="D80" t="s">
        <v>98</v>
      </c>
      <c r="E80" s="5">
        <v>260197</v>
      </c>
      <c r="G80" s="8">
        <f t="shared" si="35"/>
        <v>260197</v>
      </c>
      <c r="H80" s="1">
        <f t="shared" si="36"/>
        <v>0</v>
      </c>
      <c r="I80" s="5">
        <v>273090</v>
      </c>
      <c r="J80" s="5">
        <v>273090</v>
      </c>
      <c r="K80" s="9">
        <f t="shared" ref="K80:K94" si="39">J80-E80</f>
        <v>12893</v>
      </c>
      <c r="L80" s="1">
        <f t="shared" ref="L80:L94" si="40">IF(E80&lt;&gt;0,K80/E80,"")</f>
        <v>4.955091718966783E-2</v>
      </c>
      <c r="M80" s="9">
        <f t="shared" ref="M80:M94" si="41">J80-F80</f>
        <v>273090</v>
      </c>
      <c r="N80" s="1" t="str">
        <f t="shared" ref="N80:N94" si="42">IF(F80&lt;&gt;0,M80/F80,"")</f>
        <v/>
      </c>
      <c r="P80" s="5">
        <v>273090</v>
      </c>
    </row>
    <row r="81" spans="3:16" x14ac:dyDescent="0.45">
      <c r="C81" t="s">
        <v>99</v>
      </c>
      <c r="E81" s="5">
        <v>600</v>
      </c>
      <c r="G81" s="8">
        <f t="shared" si="35"/>
        <v>600</v>
      </c>
      <c r="H81" s="1">
        <f t="shared" si="36"/>
        <v>0</v>
      </c>
      <c r="I81" s="5">
        <v>600</v>
      </c>
      <c r="J81" s="5">
        <v>600</v>
      </c>
      <c r="K81" s="9">
        <f t="shared" si="39"/>
        <v>0</v>
      </c>
      <c r="L81" s="1">
        <f t="shared" si="40"/>
        <v>0</v>
      </c>
      <c r="M81" s="9">
        <f t="shared" si="41"/>
        <v>600</v>
      </c>
      <c r="N81" s="1" t="str">
        <f t="shared" si="42"/>
        <v/>
      </c>
      <c r="O81"/>
      <c r="P81" s="5">
        <v>0</v>
      </c>
    </row>
    <row r="82" spans="3:16" x14ac:dyDescent="0.45">
      <c r="C82" t="s">
        <v>100</v>
      </c>
      <c r="E82" s="5">
        <v>200</v>
      </c>
      <c r="G82" s="8">
        <f t="shared" si="35"/>
        <v>200</v>
      </c>
      <c r="H82" s="1">
        <f t="shared" si="36"/>
        <v>0</v>
      </c>
      <c r="I82" s="5">
        <v>200</v>
      </c>
      <c r="J82" s="5">
        <v>200</v>
      </c>
      <c r="K82" s="9">
        <f t="shared" si="39"/>
        <v>0</v>
      </c>
      <c r="L82" s="1">
        <f t="shared" si="40"/>
        <v>0</v>
      </c>
      <c r="M82" s="9">
        <f t="shared" si="41"/>
        <v>200</v>
      </c>
      <c r="N82" s="1" t="str">
        <f t="shared" si="42"/>
        <v/>
      </c>
      <c r="O82"/>
      <c r="P82" s="5">
        <v>0</v>
      </c>
    </row>
    <row r="83" spans="3:16" x14ac:dyDescent="0.45">
      <c r="C83" t="s">
        <v>101</v>
      </c>
      <c r="E83" s="5">
        <v>30</v>
      </c>
      <c r="G83" s="8">
        <f t="shared" si="35"/>
        <v>30</v>
      </c>
      <c r="H83" s="1">
        <f t="shared" si="36"/>
        <v>0</v>
      </c>
      <c r="I83" s="5">
        <v>30</v>
      </c>
      <c r="J83" s="5">
        <v>30</v>
      </c>
      <c r="K83" s="9">
        <f t="shared" si="39"/>
        <v>0</v>
      </c>
      <c r="L83" s="1">
        <f t="shared" si="40"/>
        <v>0</v>
      </c>
      <c r="M83" s="9">
        <f t="shared" si="41"/>
        <v>30</v>
      </c>
      <c r="N83" s="1" t="str">
        <f t="shared" si="42"/>
        <v/>
      </c>
      <c r="O83"/>
      <c r="P83" s="5">
        <v>0</v>
      </c>
    </row>
    <row r="84" spans="3:16" x14ac:dyDescent="0.45">
      <c r="C84" t="s">
        <v>102</v>
      </c>
      <c r="E84" s="5">
        <v>20</v>
      </c>
      <c r="G84" s="8">
        <f t="shared" si="35"/>
        <v>20</v>
      </c>
      <c r="H84" s="1">
        <f t="shared" si="36"/>
        <v>0</v>
      </c>
      <c r="I84" s="5">
        <v>20</v>
      </c>
      <c r="J84" s="5">
        <v>20</v>
      </c>
      <c r="K84" s="9">
        <f t="shared" si="39"/>
        <v>0</v>
      </c>
      <c r="L84" s="1">
        <f t="shared" si="40"/>
        <v>0</v>
      </c>
      <c r="M84" s="9">
        <f t="shared" si="41"/>
        <v>20</v>
      </c>
      <c r="N84" s="1" t="str">
        <f t="shared" si="42"/>
        <v/>
      </c>
      <c r="O84"/>
      <c r="P84" s="5">
        <v>0</v>
      </c>
    </row>
    <row r="85" spans="3:16" x14ac:dyDescent="0.45">
      <c r="C85" t="s">
        <v>103</v>
      </c>
      <c r="E85" s="5">
        <v>300</v>
      </c>
      <c r="G85" s="8">
        <f t="shared" si="35"/>
        <v>300</v>
      </c>
      <c r="H85" s="1">
        <f t="shared" si="36"/>
        <v>0</v>
      </c>
      <c r="I85" s="5">
        <v>300</v>
      </c>
      <c r="J85" s="5">
        <v>300</v>
      </c>
      <c r="K85" s="9">
        <f t="shared" si="39"/>
        <v>0</v>
      </c>
      <c r="L85" s="1">
        <f t="shared" si="40"/>
        <v>0</v>
      </c>
      <c r="M85" s="9">
        <f t="shared" si="41"/>
        <v>300</v>
      </c>
      <c r="N85" s="1" t="str">
        <f t="shared" si="42"/>
        <v/>
      </c>
      <c r="O85"/>
      <c r="P85" s="5">
        <v>0</v>
      </c>
    </row>
    <row r="86" spans="3:16" x14ac:dyDescent="0.45">
      <c r="C86" t="s">
        <v>104</v>
      </c>
      <c r="E86" s="5">
        <v>400</v>
      </c>
      <c r="G86" s="8">
        <f t="shared" si="35"/>
        <v>400</v>
      </c>
      <c r="H86" s="1">
        <f t="shared" si="36"/>
        <v>0</v>
      </c>
      <c r="I86" s="5">
        <v>400</v>
      </c>
      <c r="J86" s="5">
        <v>400</v>
      </c>
      <c r="K86" s="9">
        <f t="shared" si="39"/>
        <v>0</v>
      </c>
      <c r="L86" s="1">
        <f t="shared" si="40"/>
        <v>0</v>
      </c>
      <c r="M86" s="9">
        <f t="shared" si="41"/>
        <v>400</v>
      </c>
      <c r="N86" s="1" t="str">
        <f t="shared" si="42"/>
        <v/>
      </c>
      <c r="O86"/>
      <c r="P86" s="5">
        <v>0</v>
      </c>
    </row>
    <row r="87" spans="3:16" x14ac:dyDescent="0.45">
      <c r="C87" t="s">
        <v>105</v>
      </c>
      <c r="G87" s="8">
        <f t="shared" si="35"/>
        <v>0</v>
      </c>
      <c r="H87" s="1" t="str">
        <f t="shared" si="36"/>
        <v/>
      </c>
      <c r="I87" s="5">
        <v>10000</v>
      </c>
      <c r="J87" s="5">
        <v>10000</v>
      </c>
      <c r="K87" s="9">
        <f t="shared" si="39"/>
        <v>10000</v>
      </c>
      <c r="L87" s="1" t="str">
        <f t="shared" si="40"/>
        <v/>
      </c>
      <c r="M87" s="9">
        <f t="shared" si="41"/>
        <v>10000</v>
      </c>
      <c r="N87" s="1" t="str">
        <f t="shared" si="42"/>
        <v/>
      </c>
      <c r="O87"/>
      <c r="P87" s="5">
        <v>10000</v>
      </c>
    </row>
    <row r="88" spans="3:16" x14ac:dyDescent="0.45">
      <c r="C88" t="s">
        <v>106</v>
      </c>
      <c r="G88" s="8">
        <f t="shared" si="35"/>
        <v>0</v>
      </c>
      <c r="H88" s="1" t="str">
        <f t="shared" si="36"/>
        <v/>
      </c>
      <c r="I88" s="5">
        <v>2000</v>
      </c>
      <c r="J88" s="5">
        <v>2000</v>
      </c>
      <c r="K88" s="9">
        <f t="shared" si="39"/>
        <v>2000</v>
      </c>
      <c r="L88" s="1" t="str">
        <f t="shared" si="40"/>
        <v/>
      </c>
      <c r="M88" s="9">
        <f t="shared" si="41"/>
        <v>2000</v>
      </c>
      <c r="N88" s="1" t="str">
        <f t="shared" si="42"/>
        <v/>
      </c>
      <c r="O88"/>
      <c r="P88" s="5">
        <v>2000</v>
      </c>
    </row>
    <row r="89" spans="3:16" x14ac:dyDescent="0.45">
      <c r="C89" t="s">
        <v>107</v>
      </c>
      <c r="G89" s="8">
        <f t="shared" si="35"/>
        <v>0</v>
      </c>
      <c r="H89" s="1" t="str">
        <f t="shared" si="36"/>
        <v/>
      </c>
      <c r="I89" s="5">
        <v>700</v>
      </c>
      <c r="J89" s="5">
        <v>700</v>
      </c>
      <c r="K89" s="9">
        <f t="shared" si="39"/>
        <v>700</v>
      </c>
      <c r="L89" s="1" t="str">
        <f t="shared" si="40"/>
        <v/>
      </c>
      <c r="M89" s="9">
        <f t="shared" si="41"/>
        <v>700</v>
      </c>
      <c r="N89" s="1" t="str">
        <f t="shared" si="42"/>
        <v/>
      </c>
      <c r="O89"/>
      <c r="P89" s="5">
        <v>700</v>
      </c>
    </row>
    <row r="90" spans="3:16" x14ac:dyDescent="0.45">
      <c r="C90" t="s">
        <v>108</v>
      </c>
      <c r="G90" s="8">
        <f t="shared" si="35"/>
        <v>0</v>
      </c>
      <c r="H90" s="1" t="str">
        <f t="shared" si="36"/>
        <v/>
      </c>
      <c r="I90" s="7">
        <v>6000</v>
      </c>
      <c r="J90" s="7">
        <v>6000</v>
      </c>
      <c r="K90" s="9">
        <f t="shared" si="39"/>
        <v>6000</v>
      </c>
      <c r="L90" s="1" t="str">
        <f t="shared" si="40"/>
        <v/>
      </c>
      <c r="M90" s="9">
        <f t="shared" si="41"/>
        <v>6000</v>
      </c>
      <c r="N90" s="1" t="str">
        <f t="shared" si="42"/>
        <v/>
      </c>
      <c r="O90"/>
      <c r="P90" s="7">
        <v>0</v>
      </c>
    </row>
    <row r="91" spans="3:16" x14ac:dyDescent="0.45">
      <c r="C91" t="s">
        <v>109</v>
      </c>
      <c r="G91" s="8">
        <f t="shared" si="35"/>
        <v>0</v>
      </c>
      <c r="H91" s="1" t="str">
        <f t="shared" si="36"/>
        <v/>
      </c>
      <c r="I91" s="5">
        <v>500</v>
      </c>
      <c r="J91" s="7">
        <v>500</v>
      </c>
      <c r="K91" s="9">
        <f t="shared" si="39"/>
        <v>500</v>
      </c>
      <c r="L91" s="1" t="str">
        <f t="shared" si="40"/>
        <v/>
      </c>
      <c r="M91" s="9">
        <f t="shared" si="41"/>
        <v>500</v>
      </c>
      <c r="N91" s="1" t="str">
        <f t="shared" si="42"/>
        <v/>
      </c>
      <c r="O91"/>
      <c r="P91" s="7">
        <v>0</v>
      </c>
    </row>
    <row r="92" spans="3:16" x14ac:dyDescent="0.45">
      <c r="C92" t="s">
        <v>110</v>
      </c>
      <c r="G92" s="8">
        <f t="shared" si="35"/>
        <v>0</v>
      </c>
      <c r="H92" s="1" t="str">
        <f t="shared" si="36"/>
        <v/>
      </c>
      <c r="I92" s="5">
        <v>9000</v>
      </c>
      <c r="J92" s="5">
        <v>9000</v>
      </c>
      <c r="K92" s="9">
        <f t="shared" si="39"/>
        <v>9000</v>
      </c>
      <c r="L92" s="1" t="str">
        <f t="shared" si="40"/>
        <v/>
      </c>
      <c r="M92" s="9">
        <f t="shared" si="41"/>
        <v>9000</v>
      </c>
      <c r="N92" s="1" t="str">
        <f t="shared" si="42"/>
        <v/>
      </c>
      <c r="O92"/>
      <c r="P92" s="5">
        <v>9000</v>
      </c>
    </row>
    <row r="93" spans="3:16" x14ac:dyDescent="0.45">
      <c r="C93" t="s">
        <v>111</v>
      </c>
      <c r="E93" s="5">
        <v>4200</v>
      </c>
      <c r="G93" s="8">
        <f t="shared" si="35"/>
        <v>4200</v>
      </c>
      <c r="H93" s="1">
        <f t="shared" si="36"/>
        <v>0</v>
      </c>
      <c r="I93" s="5">
        <v>4200</v>
      </c>
      <c r="J93" s="5">
        <v>4200</v>
      </c>
      <c r="K93" s="9">
        <f t="shared" si="39"/>
        <v>0</v>
      </c>
      <c r="L93" s="1">
        <f t="shared" si="40"/>
        <v>0</v>
      </c>
      <c r="M93" s="9">
        <f t="shared" si="41"/>
        <v>4200</v>
      </c>
      <c r="N93" s="1" t="str">
        <f t="shared" si="42"/>
        <v/>
      </c>
      <c r="O93"/>
      <c r="P93" s="5">
        <v>3000</v>
      </c>
    </row>
    <row r="94" spans="3:16" x14ac:dyDescent="0.45">
      <c r="C94" t="s">
        <v>112</v>
      </c>
      <c r="E94" s="5">
        <f>SUM(E80:E93)</f>
        <v>265947</v>
      </c>
      <c r="F94" s="5">
        <v>270802.86</v>
      </c>
      <c r="G94" s="8">
        <f t="shared" si="35"/>
        <v>-4855.859999999986</v>
      </c>
      <c r="H94" s="1">
        <f t="shared" si="36"/>
        <v>1.0182587508037315</v>
      </c>
      <c r="I94" s="5">
        <f t="shared" ref="I94:J94" si="43">SUM(I80:I93)</f>
        <v>307040</v>
      </c>
      <c r="J94" s="5">
        <f t="shared" si="43"/>
        <v>307040</v>
      </c>
      <c r="K94" s="9">
        <f t="shared" si="39"/>
        <v>41093</v>
      </c>
      <c r="L94" s="1">
        <f t="shared" si="40"/>
        <v>0.1545157493786356</v>
      </c>
      <c r="M94" s="9">
        <f t="shared" si="41"/>
        <v>36237.140000000014</v>
      </c>
      <c r="N94" s="1">
        <f t="shared" si="42"/>
        <v>0.1338137270780671</v>
      </c>
      <c r="O94"/>
      <c r="P94" s="5">
        <f t="shared" ref="P94" si="44">SUM(P80:P93)</f>
        <v>297790</v>
      </c>
    </row>
    <row r="95" spans="3:16" x14ac:dyDescent="0.45">
      <c r="H95" s="1"/>
      <c r="O95"/>
    </row>
    <row r="96" spans="3:16" x14ac:dyDescent="0.45">
      <c r="C96" t="s">
        <v>95</v>
      </c>
      <c r="E96" s="5">
        <f>E94</f>
        <v>265947</v>
      </c>
      <c r="F96" s="5">
        <f t="shared" ref="F96:J96" si="45">F94</f>
        <v>270802.86</v>
      </c>
      <c r="G96" s="8">
        <f t="shared" si="35"/>
        <v>-4855.859999999986</v>
      </c>
      <c r="H96" s="1">
        <f t="shared" si="36"/>
        <v>1.0182587508037315</v>
      </c>
      <c r="I96" s="5">
        <f t="shared" ref="I96" si="46">I94</f>
        <v>307040</v>
      </c>
      <c r="J96" s="5">
        <f t="shared" si="45"/>
        <v>307040</v>
      </c>
      <c r="K96" s="9">
        <f>J96-E96</f>
        <v>41093</v>
      </c>
      <c r="L96" s="1">
        <f>IF(E96&lt;&gt;0,K96/E96,"")</f>
        <v>0.1545157493786356</v>
      </c>
      <c r="M96" s="9">
        <f>J96-F96</f>
        <v>36237.140000000014</v>
      </c>
      <c r="N96" s="1">
        <f>IF(F96&lt;&gt;0,M96/F96,"")</f>
        <v>0.1338137270780671</v>
      </c>
      <c r="O96"/>
      <c r="P96" s="5">
        <f t="shared" ref="P96" si="47">P94</f>
        <v>297790</v>
      </c>
    </row>
    <row r="97" spans="1:16" x14ac:dyDescent="0.45">
      <c r="H97" s="1"/>
      <c r="O97"/>
    </row>
    <row r="98" spans="1:16" x14ac:dyDescent="0.45">
      <c r="A98" t="s">
        <v>113</v>
      </c>
      <c r="B98">
        <v>6430</v>
      </c>
      <c r="C98" t="s">
        <v>114</v>
      </c>
      <c r="H98" s="1"/>
      <c r="O98"/>
    </row>
    <row r="99" spans="1:16" x14ac:dyDescent="0.45">
      <c r="C99" t="s">
        <v>115</v>
      </c>
      <c r="E99" s="5">
        <v>3400</v>
      </c>
      <c r="F99" s="5">
        <v>2489.42</v>
      </c>
      <c r="G99" s="8">
        <f t="shared" si="35"/>
        <v>910.57999999999993</v>
      </c>
      <c r="H99" s="1">
        <f t="shared" si="36"/>
        <v>0.73218235294117651</v>
      </c>
      <c r="I99" s="5">
        <v>3400</v>
      </c>
      <c r="J99" s="5">
        <v>3400</v>
      </c>
      <c r="K99" s="9">
        <f>J99-E99</f>
        <v>0</v>
      </c>
      <c r="L99" s="1">
        <f>IF(E99&lt;&gt;0,K99/E99,"")</f>
        <v>0</v>
      </c>
      <c r="M99" s="9">
        <f>J99-F99</f>
        <v>910.57999999999993</v>
      </c>
      <c r="N99" s="1">
        <f>IF(F99&lt;&gt;0,M99/F99,"")</f>
        <v>0.3657799808790802</v>
      </c>
      <c r="O99" s="1">
        <v>0.3</v>
      </c>
      <c r="P99" s="5">
        <f>(1+O99)*F99</f>
        <v>3236.2460000000001</v>
      </c>
    </row>
    <row r="100" spans="1:16" x14ac:dyDescent="0.45">
      <c r="C100" t="s">
        <v>234</v>
      </c>
      <c r="E100" s="5">
        <f>E99</f>
        <v>3400</v>
      </c>
      <c r="F100" s="5">
        <f t="shared" ref="F100:J100" si="48">F99</f>
        <v>2489.42</v>
      </c>
      <c r="G100" s="8">
        <f t="shared" si="35"/>
        <v>910.57999999999993</v>
      </c>
      <c r="H100" s="1">
        <f t="shared" si="36"/>
        <v>0.73218235294117651</v>
      </c>
      <c r="I100" s="5">
        <f t="shared" si="48"/>
        <v>3400</v>
      </c>
      <c r="J100" s="5">
        <f t="shared" si="48"/>
        <v>3400</v>
      </c>
      <c r="K100" s="9">
        <f>J100-E100</f>
        <v>0</v>
      </c>
      <c r="L100" s="1">
        <f>IF(E100&lt;&gt;0,K100/E100,"")</f>
        <v>0</v>
      </c>
      <c r="M100" s="9">
        <f>J100-F100</f>
        <v>910.57999999999993</v>
      </c>
      <c r="N100" s="1">
        <f>IF(F100&lt;&gt;0,M100/F100,"")</f>
        <v>0.3657799808790802</v>
      </c>
      <c r="P100" s="5">
        <f t="shared" ref="P100" si="49">P99</f>
        <v>3236.2460000000001</v>
      </c>
    </row>
    <row r="101" spans="1:16" x14ac:dyDescent="0.45">
      <c r="H101" s="1"/>
    </row>
    <row r="102" spans="1:16" x14ac:dyDescent="0.45">
      <c r="B102">
        <v>6440</v>
      </c>
      <c r="C102" t="s">
        <v>116</v>
      </c>
      <c r="H102" s="1"/>
    </row>
    <row r="103" spans="1:16" x14ac:dyDescent="0.45">
      <c r="C103" t="s">
        <v>117</v>
      </c>
      <c r="E103" s="5">
        <v>6000</v>
      </c>
      <c r="G103" s="8">
        <f t="shared" si="35"/>
        <v>6000</v>
      </c>
      <c r="H103" s="1">
        <f t="shared" si="36"/>
        <v>0</v>
      </c>
      <c r="I103" s="5">
        <v>6000</v>
      </c>
      <c r="J103" s="5">
        <v>6000</v>
      </c>
      <c r="K103" s="9">
        <f>J103-E103</f>
        <v>0</v>
      </c>
      <c r="L103" s="1">
        <f>IF(E103&lt;&gt;0,K103/E103,"")</f>
        <v>0</v>
      </c>
      <c r="M103" s="9">
        <f>J103-F103</f>
        <v>6000</v>
      </c>
      <c r="N103" s="1" t="str">
        <f>IF(F103&lt;&gt;0,M103/F103,"")</f>
        <v/>
      </c>
      <c r="O103"/>
      <c r="P103" s="5">
        <v>6000</v>
      </c>
    </row>
    <row r="104" spans="1:16" x14ac:dyDescent="0.45">
      <c r="C104" t="s">
        <v>118</v>
      </c>
      <c r="E104" s="5">
        <v>14500</v>
      </c>
      <c r="G104" s="8">
        <f t="shared" si="35"/>
        <v>14500</v>
      </c>
      <c r="H104" s="1">
        <f t="shared" si="36"/>
        <v>0</v>
      </c>
      <c r="I104" s="7">
        <v>14500</v>
      </c>
      <c r="J104" s="7">
        <v>14500</v>
      </c>
      <c r="K104" s="9">
        <f>J104-E104</f>
        <v>0</v>
      </c>
      <c r="L104" s="1">
        <f>IF(E104&lt;&gt;0,K104/E104,"")</f>
        <v>0</v>
      </c>
      <c r="M104" s="9">
        <f>J104-F104</f>
        <v>14500</v>
      </c>
      <c r="N104" s="1" t="str">
        <f>IF(F104&lt;&gt;0,M104/F104,"")</f>
        <v/>
      </c>
      <c r="O104"/>
      <c r="P104" s="13">
        <v>0</v>
      </c>
    </row>
    <row r="105" spans="1:16" x14ac:dyDescent="0.45">
      <c r="C105" t="s">
        <v>119</v>
      </c>
      <c r="E105" s="5">
        <v>6000</v>
      </c>
      <c r="G105" s="8">
        <f t="shared" si="35"/>
        <v>6000</v>
      </c>
      <c r="H105" s="1">
        <f t="shared" si="36"/>
        <v>0</v>
      </c>
      <c r="I105" s="5">
        <v>6000</v>
      </c>
      <c r="J105" s="5">
        <v>6000</v>
      </c>
      <c r="K105" s="9">
        <f>J105-E105</f>
        <v>0</v>
      </c>
      <c r="L105" s="1">
        <f>IF(E105&lt;&gt;0,K105/E105,"")</f>
        <v>0</v>
      </c>
      <c r="M105" s="9">
        <f>J105-F105</f>
        <v>6000</v>
      </c>
      <c r="N105" s="1" t="str">
        <f>IF(F105&lt;&gt;0,M105/F105,"")</f>
        <v/>
      </c>
      <c r="O105"/>
      <c r="P105" s="5">
        <v>6000</v>
      </c>
    </row>
    <row r="106" spans="1:16" x14ac:dyDescent="0.45">
      <c r="C106" t="s">
        <v>120</v>
      </c>
      <c r="E106" s="5">
        <f>SUM(E103:E105)</f>
        <v>26500</v>
      </c>
      <c r="F106" s="5">
        <v>13829.95</v>
      </c>
      <c r="G106" s="8">
        <f t="shared" si="35"/>
        <v>12670.05</v>
      </c>
      <c r="H106" s="1">
        <f t="shared" si="36"/>
        <v>0.52188490566037737</v>
      </c>
      <c r="I106" s="5">
        <f t="shared" ref="I106:J106" si="50">SUM(I103:I105)</f>
        <v>26500</v>
      </c>
      <c r="J106" s="5">
        <f t="shared" si="50"/>
        <v>26500</v>
      </c>
      <c r="K106" s="9">
        <f>J106-E106</f>
        <v>0</v>
      </c>
      <c r="L106" s="1">
        <f>IF(E106&lt;&gt;0,K106/E106,"")</f>
        <v>0</v>
      </c>
      <c r="M106" s="9">
        <f>J106-F106</f>
        <v>12670.05</v>
      </c>
      <c r="N106" s="1">
        <f>IF(F106&lt;&gt;0,M106/F106,"")</f>
        <v>0.91613129476245381</v>
      </c>
      <c r="O106"/>
      <c r="P106" s="5">
        <f t="shared" ref="P106" si="51">SUM(P103:P105)</f>
        <v>12000</v>
      </c>
    </row>
    <row r="107" spans="1:16" x14ac:dyDescent="0.45">
      <c r="H107" s="1"/>
      <c r="O107"/>
    </row>
    <row r="108" spans="1:16" x14ac:dyDescent="0.45">
      <c r="B108">
        <v>6025</v>
      </c>
      <c r="C108" t="s">
        <v>121</v>
      </c>
      <c r="H108" s="1"/>
      <c r="O108"/>
    </row>
    <row r="109" spans="1:16" x14ac:dyDescent="0.45">
      <c r="C109" t="s">
        <v>122</v>
      </c>
      <c r="D109">
        <v>16929</v>
      </c>
      <c r="E109" s="5">
        <v>7200</v>
      </c>
      <c r="F109" s="5">
        <v>26467.35</v>
      </c>
      <c r="G109" s="8">
        <f t="shared" si="35"/>
        <v>-19267.349999999999</v>
      </c>
      <c r="H109" s="1">
        <f t="shared" si="36"/>
        <v>3.6760208333333333</v>
      </c>
      <c r="I109" s="5">
        <v>16929</v>
      </c>
      <c r="J109" s="5">
        <v>16929</v>
      </c>
      <c r="K109" s="9">
        <f>J109-E109</f>
        <v>9729</v>
      </c>
      <c r="L109" s="1">
        <f>IF(E109&lt;&gt;0,K109/E109,"")</f>
        <v>1.3512500000000001</v>
      </c>
      <c r="M109" s="9">
        <f>J109-F109</f>
        <v>-9538.3499999999985</v>
      </c>
      <c r="N109" s="1">
        <f>IF(F109&lt;&gt;0,M109/F109,"")</f>
        <v>-0.36038175336782863</v>
      </c>
      <c r="P109" s="5">
        <v>10000</v>
      </c>
    </row>
    <row r="110" spans="1:16" x14ac:dyDescent="0.45">
      <c r="C110" t="s">
        <v>123</v>
      </c>
      <c r="E110" s="5">
        <f>E109</f>
        <v>7200</v>
      </c>
      <c r="F110" s="5">
        <f t="shared" ref="F110:J110" si="52">F109</f>
        <v>26467.35</v>
      </c>
      <c r="G110" s="8">
        <f t="shared" si="35"/>
        <v>-19267.349999999999</v>
      </c>
      <c r="H110" s="1">
        <f t="shared" si="36"/>
        <v>3.6760208333333333</v>
      </c>
      <c r="I110" s="5">
        <f t="shared" si="52"/>
        <v>16929</v>
      </c>
      <c r="J110" s="5">
        <f t="shared" si="52"/>
        <v>16929</v>
      </c>
      <c r="K110" s="9">
        <f>J110-E110</f>
        <v>9729</v>
      </c>
      <c r="L110" s="1">
        <f>IF(E110&lt;&gt;0,K110/E110,"")</f>
        <v>1.3512500000000001</v>
      </c>
      <c r="M110" s="9">
        <f>J110-F110</f>
        <v>-9538.3499999999985</v>
      </c>
      <c r="N110" s="1">
        <f>IF(F110&lt;&gt;0,M110/F110,"")</f>
        <v>-0.36038175336782863</v>
      </c>
      <c r="P110" s="5">
        <f t="shared" ref="P110" si="53">P109</f>
        <v>10000</v>
      </c>
    </row>
    <row r="111" spans="1:16" x14ac:dyDescent="0.45">
      <c r="H111" s="1"/>
      <c r="O111"/>
    </row>
    <row r="112" spans="1:16" x14ac:dyDescent="0.45">
      <c r="B112">
        <v>6419</v>
      </c>
      <c r="C112" t="s">
        <v>124</v>
      </c>
      <c r="H112" s="1"/>
      <c r="O112"/>
    </row>
    <row r="113" spans="3:16" x14ac:dyDescent="0.45">
      <c r="C113" t="s">
        <v>125</v>
      </c>
      <c r="D113" s="2">
        <v>0.02</v>
      </c>
      <c r="E113" s="5">
        <v>26682</v>
      </c>
      <c r="G113" s="8">
        <f t="shared" si="35"/>
        <v>26682</v>
      </c>
      <c r="H113" s="1">
        <f t="shared" si="36"/>
        <v>0</v>
      </c>
      <c r="I113" s="5">
        <v>27380</v>
      </c>
      <c r="J113" s="16">
        <v>27380</v>
      </c>
      <c r="K113" s="9">
        <f t="shared" ref="K113:K134" si="54">J113-E113</f>
        <v>698</v>
      </c>
      <c r="L113" s="1">
        <f t="shared" ref="L113:L134" si="55">IF(E113&lt;&gt;0,K113/E113,"")</f>
        <v>2.6159958024136121E-2</v>
      </c>
      <c r="M113" s="9">
        <f t="shared" ref="M113:M134" si="56">J113-F113</f>
        <v>27380</v>
      </c>
      <c r="N113" s="1" t="str">
        <f t="shared" ref="N113:N134" si="57">IF(F113&lt;&gt;0,M113/F113,"")</f>
        <v/>
      </c>
      <c r="O113"/>
      <c r="P113" s="13">
        <v>27380</v>
      </c>
    </row>
    <row r="114" spans="3:16" x14ac:dyDescent="0.45">
      <c r="C114" t="s">
        <v>126</v>
      </c>
      <c r="E114" s="5">
        <v>2280</v>
      </c>
      <c r="G114" s="8">
        <f t="shared" si="35"/>
        <v>2280</v>
      </c>
      <c r="H114" s="1">
        <f t="shared" si="36"/>
        <v>0</v>
      </c>
      <c r="I114" s="5">
        <v>2280</v>
      </c>
      <c r="J114" s="16">
        <v>2280</v>
      </c>
      <c r="K114" s="9">
        <f t="shared" si="54"/>
        <v>0</v>
      </c>
      <c r="L114" s="1">
        <f t="shared" si="55"/>
        <v>0</v>
      </c>
      <c r="M114" s="9">
        <f t="shared" si="56"/>
        <v>2280</v>
      </c>
      <c r="N114" s="1" t="str">
        <f t="shared" si="57"/>
        <v/>
      </c>
      <c r="O114"/>
      <c r="P114" s="13">
        <v>2280</v>
      </c>
    </row>
    <row r="115" spans="3:16" x14ac:dyDescent="0.45">
      <c r="C115" t="s">
        <v>127</v>
      </c>
      <c r="E115" s="5">
        <v>6000</v>
      </c>
      <c r="G115" s="8">
        <f t="shared" si="35"/>
        <v>6000</v>
      </c>
      <c r="H115" s="1">
        <f t="shared" si="36"/>
        <v>0</v>
      </c>
      <c r="I115" s="7">
        <v>6000</v>
      </c>
      <c r="J115" s="16">
        <v>6000</v>
      </c>
      <c r="K115" s="9">
        <f t="shared" si="54"/>
        <v>0</v>
      </c>
      <c r="L115" s="1">
        <f t="shared" si="55"/>
        <v>0</v>
      </c>
      <c r="M115" s="9">
        <f t="shared" si="56"/>
        <v>6000</v>
      </c>
      <c r="N115" s="1" t="str">
        <f t="shared" si="57"/>
        <v/>
      </c>
      <c r="O115"/>
      <c r="P115" s="13"/>
    </row>
    <row r="116" spans="3:16" x14ac:dyDescent="0.45">
      <c r="C116" t="s">
        <v>128</v>
      </c>
      <c r="E116" s="5">
        <v>9000</v>
      </c>
      <c r="G116" s="8">
        <f t="shared" si="35"/>
        <v>9000</v>
      </c>
      <c r="H116" s="1">
        <f t="shared" si="36"/>
        <v>0</v>
      </c>
      <c r="I116" s="5">
        <v>9000</v>
      </c>
      <c r="J116" s="16">
        <v>9000</v>
      </c>
      <c r="K116" s="9">
        <f t="shared" si="54"/>
        <v>0</v>
      </c>
      <c r="L116" s="1">
        <f t="shared" si="55"/>
        <v>0</v>
      </c>
      <c r="M116" s="9">
        <f t="shared" si="56"/>
        <v>9000</v>
      </c>
      <c r="N116" s="1" t="str">
        <f t="shared" si="57"/>
        <v/>
      </c>
      <c r="O116"/>
      <c r="P116" s="13">
        <v>9000</v>
      </c>
    </row>
    <row r="117" spans="3:16" x14ac:dyDescent="0.45">
      <c r="C117" t="s">
        <v>129</v>
      </c>
      <c r="E117" s="5">
        <v>14400</v>
      </c>
      <c r="G117" s="8">
        <f t="shared" si="35"/>
        <v>14400</v>
      </c>
      <c r="H117" s="1">
        <f t="shared" si="36"/>
        <v>0</v>
      </c>
      <c r="I117" s="5">
        <v>14400</v>
      </c>
      <c r="J117" s="16">
        <v>14400</v>
      </c>
      <c r="K117" s="9">
        <f t="shared" si="54"/>
        <v>0</v>
      </c>
      <c r="L117" s="1">
        <f t="shared" si="55"/>
        <v>0</v>
      </c>
      <c r="M117" s="9">
        <f t="shared" si="56"/>
        <v>14400</v>
      </c>
      <c r="N117" s="1" t="str">
        <f t="shared" si="57"/>
        <v/>
      </c>
      <c r="O117"/>
      <c r="P117" s="13">
        <v>14400</v>
      </c>
    </row>
    <row r="118" spans="3:16" x14ac:dyDescent="0.45">
      <c r="C118" t="s">
        <v>144</v>
      </c>
      <c r="E118" s="5">
        <v>6000</v>
      </c>
      <c r="G118" s="8">
        <f t="shared" si="35"/>
        <v>6000</v>
      </c>
      <c r="H118" s="1">
        <f t="shared" si="36"/>
        <v>0</v>
      </c>
      <c r="I118" s="5">
        <v>6000</v>
      </c>
      <c r="J118" s="16">
        <v>6000</v>
      </c>
      <c r="K118" s="9">
        <f t="shared" si="54"/>
        <v>0</v>
      </c>
      <c r="L118" s="1">
        <f t="shared" si="55"/>
        <v>0</v>
      </c>
      <c r="M118" s="9">
        <f t="shared" si="56"/>
        <v>6000</v>
      </c>
      <c r="N118" s="1" t="str">
        <f t="shared" si="57"/>
        <v/>
      </c>
      <c r="O118"/>
      <c r="P118" s="13">
        <v>6000</v>
      </c>
    </row>
    <row r="119" spans="3:16" x14ac:dyDescent="0.45">
      <c r="C119" t="s">
        <v>130</v>
      </c>
      <c r="E119" s="5">
        <v>12000</v>
      </c>
      <c r="G119" s="8">
        <f t="shared" si="35"/>
        <v>12000</v>
      </c>
      <c r="H119" s="1">
        <f t="shared" si="36"/>
        <v>0</v>
      </c>
      <c r="I119" s="5">
        <v>12000</v>
      </c>
      <c r="J119" s="16">
        <v>12000</v>
      </c>
      <c r="K119" s="9">
        <f t="shared" si="54"/>
        <v>0</v>
      </c>
      <c r="L119" s="1">
        <f t="shared" si="55"/>
        <v>0</v>
      </c>
      <c r="M119" s="9">
        <f t="shared" si="56"/>
        <v>12000</v>
      </c>
      <c r="N119" s="1" t="str">
        <f t="shared" si="57"/>
        <v/>
      </c>
      <c r="O119"/>
      <c r="P119" s="13">
        <v>12000</v>
      </c>
    </row>
    <row r="120" spans="3:16" x14ac:dyDescent="0.45">
      <c r="C120" t="s">
        <v>131</v>
      </c>
      <c r="E120" s="5">
        <v>4800</v>
      </c>
      <c r="G120" s="8">
        <f t="shared" si="35"/>
        <v>4800</v>
      </c>
      <c r="H120" s="1">
        <f t="shared" si="36"/>
        <v>0</v>
      </c>
      <c r="I120" s="5">
        <v>4800</v>
      </c>
      <c r="J120" s="16">
        <v>4800</v>
      </c>
      <c r="K120" s="9">
        <f t="shared" si="54"/>
        <v>0</v>
      </c>
      <c r="L120" s="1">
        <f t="shared" si="55"/>
        <v>0</v>
      </c>
      <c r="M120" s="9">
        <f t="shared" si="56"/>
        <v>4800</v>
      </c>
      <c r="N120" s="1" t="str">
        <f t="shared" si="57"/>
        <v/>
      </c>
      <c r="O120"/>
      <c r="P120" s="13">
        <v>4800</v>
      </c>
    </row>
    <row r="121" spans="3:16" x14ac:dyDescent="0.45">
      <c r="C121" t="s">
        <v>132</v>
      </c>
      <c r="E121" s="5">
        <v>960</v>
      </c>
      <c r="G121" s="8">
        <f t="shared" si="35"/>
        <v>960</v>
      </c>
      <c r="H121" s="1">
        <f t="shared" si="36"/>
        <v>0</v>
      </c>
      <c r="I121" s="5">
        <v>960</v>
      </c>
      <c r="J121" s="16">
        <v>960</v>
      </c>
      <c r="K121" s="9">
        <f t="shared" si="54"/>
        <v>0</v>
      </c>
      <c r="L121" s="1">
        <f t="shared" si="55"/>
        <v>0</v>
      </c>
      <c r="M121" s="9">
        <f t="shared" si="56"/>
        <v>960</v>
      </c>
      <c r="N121" s="1" t="str">
        <f t="shared" si="57"/>
        <v/>
      </c>
      <c r="O121"/>
      <c r="P121" s="13">
        <v>960</v>
      </c>
    </row>
    <row r="122" spans="3:16" x14ac:dyDescent="0.45">
      <c r="C122" t="s">
        <v>133</v>
      </c>
      <c r="E122" s="5">
        <v>10000</v>
      </c>
      <c r="G122" s="8">
        <f t="shared" si="35"/>
        <v>10000</v>
      </c>
      <c r="H122" s="1">
        <f t="shared" si="36"/>
        <v>0</v>
      </c>
      <c r="I122" s="5">
        <v>10000</v>
      </c>
      <c r="J122" s="16">
        <v>10000</v>
      </c>
      <c r="K122" s="9">
        <f t="shared" si="54"/>
        <v>0</v>
      </c>
      <c r="L122" s="1">
        <f t="shared" si="55"/>
        <v>0</v>
      </c>
      <c r="M122" s="9">
        <f t="shared" si="56"/>
        <v>10000</v>
      </c>
      <c r="N122" s="1" t="str">
        <f t="shared" si="57"/>
        <v/>
      </c>
      <c r="O122"/>
      <c r="P122" s="13">
        <v>10000</v>
      </c>
    </row>
    <row r="123" spans="3:16" x14ac:dyDescent="0.45">
      <c r="C123" t="s">
        <v>134</v>
      </c>
      <c r="E123" s="5">
        <v>2160</v>
      </c>
      <c r="G123" s="8">
        <f t="shared" si="35"/>
        <v>2160</v>
      </c>
      <c r="H123" s="1">
        <f t="shared" si="36"/>
        <v>0</v>
      </c>
      <c r="I123" s="5">
        <v>2160</v>
      </c>
      <c r="J123" s="16">
        <v>2160</v>
      </c>
      <c r="K123" s="9">
        <f t="shared" si="54"/>
        <v>0</v>
      </c>
      <c r="L123" s="1">
        <f t="shared" si="55"/>
        <v>0</v>
      </c>
      <c r="M123" s="9">
        <f t="shared" si="56"/>
        <v>2160</v>
      </c>
      <c r="N123" s="1" t="str">
        <f t="shared" si="57"/>
        <v/>
      </c>
      <c r="O123"/>
      <c r="P123" s="13">
        <v>2160</v>
      </c>
    </row>
    <row r="124" spans="3:16" x14ac:dyDescent="0.45">
      <c r="C124" t="s">
        <v>84</v>
      </c>
      <c r="E124" s="5">
        <v>36000</v>
      </c>
      <c r="G124" s="8">
        <f t="shared" si="35"/>
        <v>36000</v>
      </c>
      <c r="H124" s="1">
        <f t="shared" si="36"/>
        <v>0</v>
      </c>
      <c r="I124" s="5">
        <v>36000</v>
      </c>
      <c r="J124" s="16">
        <v>36000</v>
      </c>
      <c r="K124" s="9">
        <f t="shared" si="54"/>
        <v>0</v>
      </c>
      <c r="L124" s="1">
        <f t="shared" si="55"/>
        <v>0</v>
      </c>
      <c r="M124" s="9">
        <f t="shared" si="56"/>
        <v>36000</v>
      </c>
      <c r="N124" s="1" t="str">
        <f t="shared" si="57"/>
        <v/>
      </c>
      <c r="O124"/>
      <c r="P124" s="13">
        <v>36000</v>
      </c>
    </row>
    <row r="125" spans="3:16" x14ac:dyDescent="0.45">
      <c r="C125" t="s">
        <v>135</v>
      </c>
      <c r="E125" s="5">
        <v>9000</v>
      </c>
      <c r="G125" s="8">
        <f t="shared" si="35"/>
        <v>9000</v>
      </c>
      <c r="H125" s="1">
        <f t="shared" si="36"/>
        <v>0</v>
      </c>
      <c r="I125" s="5">
        <v>18000</v>
      </c>
      <c r="J125" s="16">
        <v>18000</v>
      </c>
      <c r="K125" s="9">
        <f t="shared" si="54"/>
        <v>9000</v>
      </c>
      <c r="L125" s="1">
        <f t="shared" si="55"/>
        <v>1</v>
      </c>
      <c r="M125" s="9">
        <f t="shared" si="56"/>
        <v>18000</v>
      </c>
      <c r="N125" s="1" t="str">
        <f t="shared" si="57"/>
        <v/>
      </c>
      <c r="O125"/>
      <c r="P125" s="13">
        <v>18000</v>
      </c>
    </row>
    <row r="126" spans="3:16" x14ac:dyDescent="0.45">
      <c r="C126" t="s">
        <v>136</v>
      </c>
      <c r="G126" s="8">
        <f t="shared" si="35"/>
        <v>0</v>
      </c>
      <c r="H126" s="1" t="str">
        <f t="shared" si="36"/>
        <v/>
      </c>
      <c r="I126" s="5">
        <v>12000</v>
      </c>
      <c r="J126" s="16">
        <v>12000</v>
      </c>
      <c r="K126" s="9">
        <f t="shared" si="54"/>
        <v>12000</v>
      </c>
      <c r="L126" s="1" t="str">
        <f t="shared" si="55"/>
        <v/>
      </c>
      <c r="M126" s="9">
        <f t="shared" si="56"/>
        <v>12000</v>
      </c>
      <c r="N126" s="1" t="str">
        <f t="shared" si="57"/>
        <v/>
      </c>
      <c r="O126"/>
      <c r="P126" s="13">
        <v>12000</v>
      </c>
    </row>
    <row r="127" spans="3:16" x14ac:dyDescent="0.45">
      <c r="C127" t="s">
        <v>137</v>
      </c>
      <c r="G127" s="8">
        <f t="shared" si="35"/>
        <v>0</v>
      </c>
      <c r="H127" s="1" t="str">
        <f t="shared" si="36"/>
        <v/>
      </c>
      <c r="I127" s="5">
        <v>8000</v>
      </c>
      <c r="J127" s="16">
        <v>8000</v>
      </c>
      <c r="K127" s="9">
        <f t="shared" si="54"/>
        <v>8000</v>
      </c>
      <c r="L127" s="1" t="str">
        <f t="shared" si="55"/>
        <v/>
      </c>
      <c r="M127" s="9">
        <f t="shared" si="56"/>
        <v>8000</v>
      </c>
      <c r="N127" s="1" t="str">
        <f t="shared" si="57"/>
        <v/>
      </c>
      <c r="O127"/>
      <c r="P127" s="13">
        <v>8000</v>
      </c>
    </row>
    <row r="128" spans="3:16" x14ac:dyDescent="0.45">
      <c r="C128" t="s">
        <v>138</v>
      </c>
      <c r="G128" s="8">
        <f t="shared" si="35"/>
        <v>0</v>
      </c>
      <c r="H128" s="1" t="str">
        <f t="shared" si="36"/>
        <v/>
      </c>
      <c r="I128" s="5">
        <v>500</v>
      </c>
      <c r="J128" s="16">
        <v>500</v>
      </c>
      <c r="K128" s="9">
        <f t="shared" si="54"/>
        <v>500</v>
      </c>
      <c r="L128" s="1" t="str">
        <f t="shared" si="55"/>
        <v/>
      </c>
      <c r="M128" s="9">
        <f t="shared" si="56"/>
        <v>500</v>
      </c>
      <c r="N128" s="1" t="str">
        <f t="shared" si="57"/>
        <v/>
      </c>
      <c r="O128"/>
      <c r="P128" s="13">
        <v>500</v>
      </c>
    </row>
    <row r="129" spans="1:16" x14ac:dyDescent="0.45">
      <c r="C129" t="s">
        <v>139</v>
      </c>
      <c r="G129" s="8">
        <f t="shared" si="35"/>
        <v>0</v>
      </c>
      <c r="H129" s="1" t="str">
        <f t="shared" si="36"/>
        <v/>
      </c>
      <c r="I129" s="5">
        <v>600</v>
      </c>
      <c r="J129" s="16">
        <v>600</v>
      </c>
      <c r="K129" s="9">
        <f t="shared" si="54"/>
        <v>600</v>
      </c>
      <c r="L129" s="1" t="str">
        <f t="shared" si="55"/>
        <v/>
      </c>
      <c r="M129" s="9">
        <f t="shared" si="56"/>
        <v>600</v>
      </c>
      <c r="N129" s="1" t="str">
        <f t="shared" si="57"/>
        <v/>
      </c>
      <c r="O129"/>
      <c r="P129" s="13">
        <v>600</v>
      </c>
    </row>
    <row r="130" spans="1:16" x14ac:dyDescent="0.45">
      <c r="C130" t="s">
        <v>140</v>
      </c>
      <c r="G130" s="8">
        <f t="shared" si="35"/>
        <v>0</v>
      </c>
      <c r="H130" s="1" t="str">
        <f t="shared" si="36"/>
        <v/>
      </c>
      <c r="I130" s="5">
        <v>800</v>
      </c>
      <c r="J130" s="16">
        <v>800</v>
      </c>
      <c r="K130" s="9">
        <f t="shared" si="54"/>
        <v>800</v>
      </c>
      <c r="L130" s="1" t="str">
        <f t="shared" si="55"/>
        <v/>
      </c>
      <c r="M130" s="9">
        <f t="shared" si="56"/>
        <v>800</v>
      </c>
      <c r="N130" s="1" t="str">
        <f t="shared" si="57"/>
        <v/>
      </c>
      <c r="O130"/>
      <c r="P130" s="13">
        <v>800</v>
      </c>
    </row>
    <row r="131" spans="1:16" x14ac:dyDescent="0.45">
      <c r="C131" t="s">
        <v>141</v>
      </c>
      <c r="G131" s="8">
        <f t="shared" si="35"/>
        <v>0</v>
      </c>
      <c r="H131" s="1" t="str">
        <f t="shared" si="36"/>
        <v/>
      </c>
      <c r="I131" s="5">
        <v>12000</v>
      </c>
      <c r="J131" s="16">
        <v>12000</v>
      </c>
      <c r="K131" s="9">
        <f t="shared" si="54"/>
        <v>12000</v>
      </c>
      <c r="L131" s="1" t="str">
        <f t="shared" si="55"/>
        <v/>
      </c>
      <c r="M131" s="9">
        <f t="shared" si="56"/>
        <v>12000</v>
      </c>
      <c r="N131" s="1" t="str">
        <f t="shared" si="57"/>
        <v/>
      </c>
      <c r="O131"/>
      <c r="P131" s="13">
        <v>6000</v>
      </c>
    </row>
    <row r="132" spans="1:16" x14ac:dyDescent="0.45">
      <c r="C132" t="s">
        <v>204</v>
      </c>
      <c r="E132" s="5">
        <v>3900</v>
      </c>
      <c r="G132" s="8">
        <f t="shared" si="35"/>
        <v>3900</v>
      </c>
      <c r="H132" s="1">
        <f t="shared" si="36"/>
        <v>0</v>
      </c>
      <c r="J132" s="16"/>
      <c r="O132"/>
      <c r="P132" s="13"/>
    </row>
    <row r="133" spans="1:16" x14ac:dyDescent="0.45">
      <c r="C133" t="s">
        <v>142</v>
      </c>
      <c r="E133" s="5">
        <v>36500</v>
      </c>
      <c r="G133" s="8">
        <f t="shared" si="35"/>
        <v>36500</v>
      </c>
      <c r="H133" s="1">
        <f t="shared" si="36"/>
        <v>0</v>
      </c>
      <c r="I133" s="5">
        <v>36500</v>
      </c>
      <c r="J133" s="16">
        <v>36500</v>
      </c>
      <c r="K133" s="9">
        <f t="shared" si="54"/>
        <v>0</v>
      </c>
      <c r="L133" s="1">
        <f t="shared" si="55"/>
        <v>0</v>
      </c>
      <c r="M133" s="9">
        <f t="shared" si="56"/>
        <v>36500</v>
      </c>
      <c r="N133" s="1" t="str">
        <f t="shared" si="57"/>
        <v/>
      </c>
      <c r="O133"/>
      <c r="P133" s="13">
        <v>30000</v>
      </c>
    </row>
    <row r="134" spans="1:16" x14ac:dyDescent="0.45">
      <c r="C134" t="s">
        <v>143</v>
      </c>
      <c r="E134" s="5">
        <f>SUM(E113:E133)</f>
        <v>179682</v>
      </c>
      <c r="F134" s="5">
        <v>229449.53</v>
      </c>
      <c r="G134" s="8">
        <f>E134-F134</f>
        <v>-49767.53</v>
      </c>
      <c r="H134" s="1">
        <f t="shared" si="36"/>
        <v>1.2769756013401454</v>
      </c>
      <c r="I134" s="13">
        <f t="shared" ref="I134" si="58">SUM(I113:I133)</f>
        <v>219380</v>
      </c>
      <c r="J134" s="11">
        <v>212314</v>
      </c>
      <c r="K134" s="9">
        <f t="shared" si="54"/>
        <v>32632</v>
      </c>
      <c r="L134" s="1">
        <f t="shared" si="55"/>
        <v>0.18160973275008069</v>
      </c>
      <c r="M134" s="9">
        <f t="shared" si="56"/>
        <v>-17135.53</v>
      </c>
      <c r="N134" s="1">
        <f t="shared" si="57"/>
        <v>-7.468104205748427E-2</v>
      </c>
      <c r="O134"/>
      <c r="P134" s="13">
        <f t="shared" ref="P134" si="59">SUM(P113:P133)</f>
        <v>200880</v>
      </c>
    </row>
    <row r="135" spans="1:16" x14ac:dyDescent="0.45">
      <c r="H135" s="1"/>
    </row>
    <row r="136" spans="1:16" x14ac:dyDescent="0.45">
      <c r="C136" t="s">
        <v>145</v>
      </c>
      <c r="E136" s="5">
        <f>E100+E106+E110+E134</f>
        <v>216782</v>
      </c>
      <c r="F136" s="5">
        <f t="shared" ref="F136" si="60">F100+F106+F110+F134</f>
        <v>272236.25</v>
      </c>
      <c r="G136" s="8">
        <f t="shared" si="35"/>
        <v>-55454.25</v>
      </c>
      <c r="H136" s="1">
        <f t="shared" si="36"/>
        <v>1.2558065245269441</v>
      </c>
      <c r="I136" s="5">
        <f t="shared" ref="I136" si="61">I100+I106+I110+I134</f>
        <v>266209</v>
      </c>
      <c r="J136" s="5">
        <f>J100+J106+J110+J134</f>
        <v>259143</v>
      </c>
      <c r="K136" s="9">
        <f>J136-E136</f>
        <v>42361</v>
      </c>
      <c r="L136" s="1">
        <f>IF(E136&lt;&gt;0,K136/E136,"")</f>
        <v>0.19540829035621038</v>
      </c>
      <c r="M136" s="9">
        <f>J136-F136</f>
        <v>-13093.25</v>
      </c>
      <c r="N136" s="1">
        <f>IF(F136&lt;&gt;0,M136/F136,"")</f>
        <v>-4.8095174687426821E-2</v>
      </c>
      <c r="P136" s="5">
        <f>P100+P106+P110+P134</f>
        <v>226116.24599999998</v>
      </c>
    </row>
    <row r="137" spans="1:16" x14ac:dyDescent="0.45">
      <c r="H137" s="1"/>
    </row>
    <row r="138" spans="1:16" x14ac:dyDescent="0.45">
      <c r="A138" t="s">
        <v>146</v>
      </c>
      <c r="H138" s="1"/>
    </row>
    <row r="139" spans="1:16" x14ac:dyDescent="0.45">
      <c r="B139">
        <v>6525</v>
      </c>
      <c r="C139" t="s">
        <v>147</v>
      </c>
      <c r="H139" s="1"/>
    </row>
    <row r="140" spans="1:16" x14ac:dyDescent="0.45">
      <c r="C140" t="s">
        <v>148</v>
      </c>
      <c r="G140" s="8">
        <f t="shared" si="35"/>
        <v>0</v>
      </c>
      <c r="H140" s="1" t="str">
        <f t="shared" ref="H140:H200" si="62">IF(E140&lt;&gt;0,F140/E140,"")</f>
        <v/>
      </c>
      <c r="I140" s="5">
        <v>2688</v>
      </c>
      <c r="J140" s="5">
        <v>2688</v>
      </c>
      <c r="K140" s="9">
        <f>J140-E140</f>
        <v>2688</v>
      </c>
      <c r="L140" s="1" t="str">
        <f>IF(E140&lt;&gt;0,K140/E140,"")</f>
        <v/>
      </c>
      <c r="M140" s="9">
        <f>J140-F140</f>
        <v>2688</v>
      </c>
      <c r="N140" s="1" t="str">
        <f>IF(F140&lt;&gt;0,M140/F140,"")</f>
        <v/>
      </c>
      <c r="O140"/>
      <c r="P140" s="5">
        <v>2700</v>
      </c>
    </row>
    <row r="141" spans="1:16" x14ac:dyDescent="0.45">
      <c r="C141" t="s">
        <v>149</v>
      </c>
      <c r="G141" s="8">
        <f t="shared" ref="G141:G204" si="63">E141-F141</f>
        <v>0</v>
      </c>
      <c r="H141" s="1" t="str">
        <f t="shared" si="62"/>
        <v/>
      </c>
      <c r="I141" s="5">
        <v>3000</v>
      </c>
      <c r="J141" s="5">
        <v>3000</v>
      </c>
      <c r="K141" s="9">
        <f>J141-E141</f>
        <v>3000</v>
      </c>
      <c r="L141" s="1" t="str">
        <f>IF(E141&lt;&gt;0,K141/E141,"")</f>
        <v/>
      </c>
      <c r="M141" s="9">
        <f>J141-F141</f>
        <v>3000</v>
      </c>
      <c r="N141" s="1" t="str">
        <f>IF(F141&lt;&gt;0,M141/F141,"")</f>
        <v/>
      </c>
      <c r="O141"/>
      <c r="P141" s="5">
        <v>3000</v>
      </c>
    </row>
    <row r="142" spans="1:16" x14ac:dyDescent="0.45">
      <c r="C142" t="s">
        <v>150</v>
      </c>
      <c r="G142" s="8">
        <f t="shared" si="63"/>
        <v>0</v>
      </c>
      <c r="H142" s="1" t="str">
        <f t="shared" si="62"/>
        <v/>
      </c>
      <c r="I142" s="7">
        <v>15000</v>
      </c>
      <c r="J142" s="7">
        <v>15000</v>
      </c>
      <c r="K142" s="9">
        <f>J142-E142</f>
        <v>15000</v>
      </c>
      <c r="L142" s="1" t="str">
        <f>IF(E142&lt;&gt;0,K142/E142,"")</f>
        <v/>
      </c>
      <c r="M142" s="9">
        <f>J142-F142</f>
        <v>15000</v>
      </c>
      <c r="N142" s="1" t="str">
        <f>IF(F142&lt;&gt;0,M142/F142,"")</f>
        <v/>
      </c>
      <c r="O142"/>
      <c r="P142" s="13">
        <v>0</v>
      </c>
    </row>
    <row r="143" spans="1:16" x14ac:dyDescent="0.45">
      <c r="C143" t="s">
        <v>151</v>
      </c>
      <c r="E143" s="5">
        <v>9600</v>
      </c>
      <c r="G143" s="8">
        <f t="shared" si="63"/>
        <v>9600</v>
      </c>
      <c r="H143" s="1">
        <f t="shared" si="62"/>
        <v>0</v>
      </c>
      <c r="I143" s="5">
        <v>9600</v>
      </c>
      <c r="J143" s="5">
        <v>9600</v>
      </c>
      <c r="K143" s="9">
        <f>J143-E143</f>
        <v>0</v>
      </c>
      <c r="L143" s="1">
        <f>IF(E143&lt;&gt;0,K143/E143,"")</f>
        <v>0</v>
      </c>
      <c r="M143" s="9">
        <f>J143-F143</f>
        <v>9600</v>
      </c>
      <c r="N143" s="1" t="str">
        <f>IF(F143&lt;&gt;0,M143/F143,"")</f>
        <v/>
      </c>
      <c r="O143"/>
      <c r="P143" s="5">
        <v>8000</v>
      </c>
    </row>
    <row r="144" spans="1:16" x14ac:dyDescent="0.45">
      <c r="C144" t="s">
        <v>152</v>
      </c>
      <c r="E144" s="5">
        <f>SUM(E138:E143)</f>
        <v>9600</v>
      </c>
      <c r="F144" s="5">
        <v>3495.4</v>
      </c>
      <c r="G144" s="8">
        <f t="shared" si="63"/>
        <v>6104.6</v>
      </c>
      <c r="H144" s="1">
        <f t="shared" si="62"/>
        <v>0.36410416666666667</v>
      </c>
      <c r="I144" s="5">
        <f t="shared" ref="I144:J144" si="64">SUM(I138:I143)</f>
        <v>30288</v>
      </c>
      <c r="J144" s="5">
        <f t="shared" si="64"/>
        <v>30288</v>
      </c>
      <c r="K144" s="9">
        <f>J144-E144</f>
        <v>20688</v>
      </c>
      <c r="L144" s="1">
        <f>IF(E144&lt;&gt;0,K144/E144,"")</f>
        <v>2.1549999999999998</v>
      </c>
      <c r="M144" s="9">
        <f>J144-F144</f>
        <v>26792.6</v>
      </c>
      <c r="N144" s="1">
        <f>IF(F144&lt;&gt;0,M144/F144,"")</f>
        <v>7.6651027064141433</v>
      </c>
      <c r="P144" s="5">
        <f t="shared" ref="P144" si="65">SUM(P138:P143)</f>
        <v>13700</v>
      </c>
    </row>
    <row r="145" spans="2:16" x14ac:dyDescent="0.45">
      <c r="H145" s="1"/>
    </row>
    <row r="146" spans="2:16" x14ac:dyDescent="0.45">
      <c r="B146">
        <v>6630</v>
      </c>
      <c r="C146" t="s">
        <v>153</v>
      </c>
      <c r="H146" s="1"/>
    </row>
    <row r="147" spans="2:16" x14ac:dyDescent="0.45">
      <c r="C147" t="s">
        <v>84</v>
      </c>
      <c r="E147" s="13">
        <v>300</v>
      </c>
      <c r="F147" s="5">
        <v>493</v>
      </c>
      <c r="G147" s="8">
        <f t="shared" si="63"/>
        <v>-193</v>
      </c>
      <c r="H147" s="1">
        <f t="shared" si="62"/>
        <v>1.6433333333333333</v>
      </c>
      <c r="I147" s="5">
        <v>500</v>
      </c>
      <c r="J147" s="5">
        <v>500</v>
      </c>
      <c r="K147" s="9">
        <f t="shared" ref="K147:K156" si="66">J147-E147</f>
        <v>200</v>
      </c>
      <c r="L147" s="1">
        <f t="shared" ref="L147:L156" si="67">IF(E147&lt;&gt;0,K147/E147,"")</f>
        <v>0.66666666666666663</v>
      </c>
      <c r="M147" s="9">
        <f t="shared" ref="M147:M156" si="68">J147-F147</f>
        <v>7</v>
      </c>
      <c r="N147" s="1">
        <f t="shared" ref="N147:N156" si="69">IF(F147&lt;&gt;0,M147/F147,"")</f>
        <v>1.4198782961460446E-2</v>
      </c>
      <c r="O147" s="1">
        <v>0.05</v>
      </c>
      <c r="P147" s="5">
        <f>(1+O147)*F147</f>
        <v>517.65</v>
      </c>
    </row>
    <row r="148" spans="2:16" x14ac:dyDescent="0.45">
      <c r="C148" t="s">
        <v>154</v>
      </c>
      <c r="E148" s="5">
        <f>E147</f>
        <v>300</v>
      </c>
      <c r="F148" s="5">
        <f t="shared" ref="F148:J148" si="70">F147</f>
        <v>493</v>
      </c>
      <c r="G148" s="8">
        <f t="shared" si="63"/>
        <v>-193</v>
      </c>
      <c r="H148" s="1">
        <f t="shared" si="62"/>
        <v>1.6433333333333333</v>
      </c>
      <c r="I148" s="5">
        <f t="shared" si="70"/>
        <v>500</v>
      </c>
      <c r="J148" s="5">
        <f t="shared" si="70"/>
        <v>500</v>
      </c>
      <c r="K148" s="9">
        <f t="shared" si="66"/>
        <v>200</v>
      </c>
      <c r="L148" s="1">
        <f t="shared" si="67"/>
        <v>0.66666666666666663</v>
      </c>
      <c r="M148" s="9">
        <f t="shared" si="68"/>
        <v>7</v>
      </c>
      <c r="N148" s="1">
        <f t="shared" si="69"/>
        <v>1.4198782961460446E-2</v>
      </c>
      <c r="P148" s="5">
        <f t="shared" ref="P148" si="71">P147</f>
        <v>517.65</v>
      </c>
    </row>
    <row r="149" spans="2:16" x14ac:dyDescent="0.45">
      <c r="H149" s="1"/>
      <c r="K149"/>
      <c r="L149"/>
      <c r="M149"/>
      <c r="N149"/>
      <c r="O149"/>
    </row>
    <row r="150" spans="2:16" x14ac:dyDescent="0.45">
      <c r="B150">
        <v>6600</v>
      </c>
      <c r="C150" t="s">
        <v>195</v>
      </c>
      <c r="H150" s="1" t="str">
        <f t="shared" si="62"/>
        <v/>
      </c>
      <c r="K150"/>
      <c r="L150"/>
      <c r="M150"/>
      <c r="N150"/>
      <c r="O150"/>
    </row>
    <row r="151" spans="2:16" x14ac:dyDescent="0.45">
      <c r="C151" t="s">
        <v>196</v>
      </c>
      <c r="G151" s="8">
        <f t="shared" si="63"/>
        <v>0</v>
      </c>
      <c r="H151" s="1" t="str">
        <f t="shared" si="62"/>
        <v/>
      </c>
      <c r="I151" s="5">
        <v>2000</v>
      </c>
      <c r="J151" s="5">
        <v>2000</v>
      </c>
      <c r="K151" s="9">
        <f t="shared" si="66"/>
        <v>2000</v>
      </c>
      <c r="L151" s="1" t="str">
        <f t="shared" si="67"/>
        <v/>
      </c>
      <c r="M151" s="9">
        <f t="shared" si="68"/>
        <v>2000</v>
      </c>
      <c r="N151" s="1" t="str">
        <f t="shared" si="69"/>
        <v/>
      </c>
      <c r="O151"/>
      <c r="P151" s="5">
        <v>2000</v>
      </c>
    </row>
    <row r="152" spans="2:16" x14ac:dyDescent="0.45">
      <c r="C152" t="s">
        <v>197</v>
      </c>
      <c r="G152" s="8">
        <f t="shared" si="63"/>
        <v>0</v>
      </c>
      <c r="H152" s="1" t="str">
        <f t="shared" si="62"/>
        <v/>
      </c>
      <c r="I152" s="5">
        <v>1800</v>
      </c>
      <c r="J152" s="5">
        <v>1800</v>
      </c>
      <c r="K152" s="9">
        <f t="shared" si="66"/>
        <v>1800</v>
      </c>
      <c r="L152" s="1" t="str">
        <f t="shared" si="67"/>
        <v/>
      </c>
      <c r="M152" s="9">
        <f t="shared" si="68"/>
        <v>1800</v>
      </c>
      <c r="N152" s="1" t="str">
        <f t="shared" si="69"/>
        <v/>
      </c>
      <c r="O152"/>
      <c r="P152" s="5">
        <v>1800</v>
      </c>
    </row>
    <row r="153" spans="2:16" x14ac:dyDescent="0.45">
      <c r="C153" t="s">
        <v>198</v>
      </c>
      <c r="G153" s="8">
        <f t="shared" si="63"/>
        <v>0</v>
      </c>
      <c r="H153" s="1" t="str">
        <f t="shared" si="62"/>
        <v/>
      </c>
      <c r="I153" s="7">
        <v>5000</v>
      </c>
      <c r="J153" s="7">
        <v>5000</v>
      </c>
      <c r="K153" s="9">
        <f t="shared" si="66"/>
        <v>5000</v>
      </c>
      <c r="L153" s="1" t="str">
        <f t="shared" si="67"/>
        <v/>
      </c>
      <c r="M153" s="9">
        <f t="shared" si="68"/>
        <v>5000</v>
      </c>
      <c r="N153" s="1" t="str">
        <f t="shared" si="69"/>
        <v/>
      </c>
      <c r="O153"/>
      <c r="P153" s="7">
        <v>5000</v>
      </c>
    </row>
    <row r="154" spans="2:16" x14ac:dyDescent="0.45">
      <c r="C154" t="s">
        <v>199</v>
      </c>
      <c r="G154" s="8">
        <f t="shared" si="63"/>
        <v>0</v>
      </c>
      <c r="H154" s="1" t="str">
        <f t="shared" si="62"/>
        <v/>
      </c>
      <c r="I154" s="7">
        <v>3948</v>
      </c>
      <c r="J154" s="7">
        <v>3948</v>
      </c>
      <c r="K154" s="9">
        <f t="shared" si="66"/>
        <v>3948</v>
      </c>
      <c r="L154" s="1" t="str">
        <f t="shared" si="67"/>
        <v/>
      </c>
      <c r="M154" s="9">
        <f t="shared" si="68"/>
        <v>3948</v>
      </c>
      <c r="N154" s="1" t="str">
        <f t="shared" si="69"/>
        <v/>
      </c>
      <c r="O154"/>
      <c r="P154" s="7">
        <v>3948</v>
      </c>
    </row>
    <row r="155" spans="2:16" x14ac:dyDescent="0.45">
      <c r="C155" t="s">
        <v>151</v>
      </c>
      <c r="E155" s="5">
        <v>12000</v>
      </c>
      <c r="G155" s="8">
        <f t="shared" si="63"/>
        <v>12000</v>
      </c>
      <c r="H155" s="1">
        <f t="shared" si="62"/>
        <v>0</v>
      </c>
      <c r="I155" s="5">
        <v>12000</v>
      </c>
      <c r="J155" s="5">
        <v>12000</v>
      </c>
      <c r="K155" s="9">
        <f t="shared" si="66"/>
        <v>0</v>
      </c>
      <c r="L155" s="1">
        <f t="shared" si="67"/>
        <v>0</v>
      </c>
      <c r="M155" s="9">
        <f t="shared" si="68"/>
        <v>12000</v>
      </c>
      <c r="N155" s="1" t="str">
        <f t="shared" si="69"/>
        <v/>
      </c>
      <c r="O155"/>
      <c r="P155" s="5">
        <v>6000</v>
      </c>
    </row>
    <row r="156" spans="2:16" x14ac:dyDescent="0.45">
      <c r="C156" t="s">
        <v>200</v>
      </c>
      <c r="E156" s="5">
        <f>SUM(E150:E155)</f>
        <v>12000</v>
      </c>
      <c r="F156" s="5">
        <v>30119.95</v>
      </c>
      <c r="G156" s="8">
        <f t="shared" si="63"/>
        <v>-18119.95</v>
      </c>
      <c r="H156" s="1">
        <f t="shared" si="62"/>
        <v>2.5099958333333334</v>
      </c>
      <c r="I156" s="5">
        <f t="shared" ref="I156:J156" si="72">SUM(I150:I155)</f>
        <v>24748</v>
      </c>
      <c r="J156" s="5">
        <f t="shared" si="72"/>
        <v>24748</v>
      </c>
      <c r="K156" s="9">
        <f t="shared" si="66"/>
        <v>12748</v>
      </c>
      <c r="L156" s="1">
        <f t="shared" si="67"/>
        <v>1.0623333333333334</v>
      </c>
      <c r="M156" s="9">
        <f t="shared" si="68"/>
        <v>-5371.9500000000007</v>
      </c>
      <c r="N156" s="1">
        <f t="shared" si="69"/>
        <v>-0.17835188969437202</v>
      </c>
      <c r="O156"/>
      <c r="P156" s="5">
        <f t="shared" ref="P156" si="73">SUM(P150:P155)</f>
        <v>18748</v>
      </c>
    </row>
    <row r="157" spans="2:16" x14ac:dyDescent="0.45">
      <c r="H157" s="1"/>
      <c r="O157"/>
    </row>
    <row r="158" spans="2:16" x14ac:dyDescent="0.45">
      <c r="B158">
        <v>6750</v>
      </c>
      <c r="C158" t="s">
        <v>201</v>
      </c>
      <c r="H158" s="1"/>
      <c r="O158"/>
    </row>
    <row r="159" spans="2:16" x14ac:dyDescent="0.45">
      <c r="E159" s="5">
        <v>10000</v>
      </c>
      <c r="G159" s="8">
        <f t="shared" si="63"/>
        <v>10000</v>
      </c>
      <c r="H159" s="1">
        <f t="shared" si="62"/>
        <v>0</v>
      </c>
      <c r="I159" s="5">
        <v>0</v>
      </c>
      <c r="J159" s="5">
        <v>0</v>
      </c>
      <c r="K159" s="9">
        <f>J159-E159</f>
        <v>-10000</v>
      </c>
      <c r="L159" s="1">
        <f>IF(E159&lt;&gt;0,K159/E159,"")</f>
        <v>-1</v>
      </c>
      <c r="M159" s="9">
        <f>J159-F159</f>
        <v>0</v>
      </c>
      <c r="N159" s="1" t="str">
        <f>IF(F159&lt;&gt;0,M159/F159,"")</f>
        <v/>
      </c>
      <c r="O159"/>
      <c r="P159" s="5">
        <f>(1+O159)*F159</f>
        <v>0</v>
      </c>
    </row>
    <row r="160" spans="2:16" x14ac:dyDescent="0.45">
      <c r="C160" t="s">
        <v>157</v>
      </c>
      <c r="E160" s="5">
        <v>1200</v>
      </c>
      <c r="G160" s="8">
        <f t="shared" si="63"/>
        <v>1200</v>
      </c>
      <c r="H160" s="1">
        <f t="shared" si="62"/>
        <v>0</v>
      </c>
      <c r="I160" s="5">
        <v>1400</v>
      </c>
      <c r="J160" s="5">
        <v>1400</v>
      </c>
      <c r="K160" s="9">
        <f>J160-E160</f>
        <v>200</v>
      </c>
      <c r="L160" s="1">
        <f>IF(E160&lt;&gt;0,K160/E160,"")</f>
        <v>0.16666666666666666</v>
      </c>
      <c r="M160" s="9">
        <f>J160-F160</f>
        <v>1400</v>
      </c>
      <c r="N160" s="1" t="str">
        <f>IF(F160&lt;&gt;0,M160/F160,"")</f>
        <v/>
      </c>
      <c r="O160"/>
      <c r="P160" s="5">
        <v>3000</v>
      </c>
    </row>
    <row r="161" spans="1:16" x14ac:dyDescent="0.45">
      <c r="C161" t="s">
        <v>202</v>
      </c>
      <c r="E161" s="5">
        <f>SUM(E159:E160)</f>
        <v>11200</v>
      </c>
      <c r="F161" s="5">
        <v>2806.42</v>
      </c>
      <c r="G161" s="8">
        <f t="shared" si="63"/>
        <v>8393.58</v>
      </c>
      <c r="H161" s="1">
        <f t="shared" si="62"/>
        <v>0.25057321428571427</v>
      </c>
      <c r="I161" s="5">
        <f t="shared" ref="I161:J161" si="74">SUM(I159:I160)</f>
        <v>1400</v>
      </c>
      <c r="J161" s="5">
        <f t="shared" si="74"/>
        <v>1400</v>
      </c>
      <c r="K161" s="9">
        <f>J161-E161</f>
        <v>-9800</v>
      </c>
      <c r="L161" s="1">
        <f>IF(E161&lt;&gt;0,K161/E161,"")</f>
        <v>-0.875</v>
      </c>
      <c r="M161" s="9">
        <f>J161-F161</f>
        <v>-1406.42</v>
      </c>
      <c r="N161" s="1">
        <f>IF(F161&lt;&gt;0,M161/F161,"")</f>
        <v>-0.5011438059876997</v>
      </c>
      <c r="O161"/>
      <c r="P161" s="5">
        <f t="shared" ref="P161" si="75">SUM(P159:P160)</f>
        <v>3000</v>
      </c>
    </row>
    <row r="162" spans="1:16" x14ac:dyDescent="0.45">
      <c r="H162" s="1"/>
      <c r="O162"/>
    </row>
    <row r="163" spans="1:16" x14ac:dyDescent="0.45">
      <c r="A163" t="s">
        <v>203</v>
      </c>
      <c r="B163">
        <v>6495</v>
      </c>
      <c r="C163" t="s">
        <v>204</v>
      </c>
      <c r="H163" s="1"/>
      <c r="O163"/>
    </row>
    <row r="164" spans="1:16" x14ac:dyDescent="0.45">
      <c r="C164" t="s">
        <v>205</v>
      </c>
      <c r="G164" s="8">
        <f t="shared" si="63"/>
        <v>0</v>
      </c>
      <c r="H164" s="1" t="str">
        <f t="shared" si="62"/>
        <v/>
      </c>
      <c r="I164" s="5">
        <v>3000</v>
      </c>
      <c r="J164" s="5">
        <v>3000</v>
      </c>
      <c r="K164" s="9">
        <f>J164-E164</f>
        <v>3000</v>
      </c>
      <c r="L164" s="1" t="str">
        <f>IF(E164&lt;&gt;0,K164/E164,"")</f>
        <v/>
      </c>
      <c r="M164" s="9">
        <f>J164-F164</f>
        <v>3000</v>
      </c>
      <c r="N164" s="1" t="str">
        <f>IF(F164&lt;&gt;0,M164/F164,"")</f>
        <v/>
      </c>
      <c r="O164"/>
      <c r="P164" s="5">
        <v>3000</v>
      </c>
    </row>
    <row r="165" spans="1:16" x14ac:dyDescent="0.45">
      <c r="C165" t="s">
        <v>207</v>
      </c>
      <c r="G165" s="8">
        <f t="shared" si="63"/>
        <v>0</v>
      </c>
      <c r="H165" s="1" t="str">
        <f t="shared" si="62"/>
        <v/>
      </c>
      <c r="I165" s="5">
        <v>900</v>
      </c>
      <c r="J165" s="5">
        <v>900</v>
      </c>
      <c r="O165"/>
      <c r="P165" s="5">
        <v>900</v>
      </c>
    </row>
    <row r="166" spans="1:16" x14ac:dyDescent="0.45">
      <c r="C166" t="s">
        <v>206</v>
      </c>
      <c r="E166" s="5">
        <f>SUM(E164:E165)</f>
        <v>0</v>
      </c>
      <c r="F166" s="5">
        <v>0</v>
      </c>
      <c r="G166" s="8">
        <f t="shared" si="63"/>
        <v>0</v>
      </c>
      <c r="H166" s="1" t="str">
        <f t="shared" si="62"/>
        <v/>
      </c>
      <c r="I166" s="5">
        <f t="shared" ref="I166:J166" si="76">SUM(I164:I165)</f>
        <v>3900</v>
      </c>
      <c r="J166" s="5">
        <f t="shared" si="76"/>
        <v>3900</v>
      </c>
      <c r="K166" s="9">
        <f>J166-E166</f>
        <v>3900</v>
      </c>
      <c r="L166" s="1" t="str">
        <f>IF(E166&lt;&gt;0,K166/E166,"")</f>
        <v/>
      </c>
      <c r="M166" s="9">
        <f>J166-F166</f>
        <v>3900</v>
      </c>
      <c r="N166" s="1" t="str">
        <f>IF(F166&lt;&gt;0,M166/F166,"")</f>
        <v/>
      </c>
      <c r="O166"/>
      <c r="P166" s="5">
        <f t="shared" ref="P166" si="77">SUM(P164:P165)</f>
        <v>3900</v>
      </c>
    </row>
    <row r="167" spans="1:16" x14ac:dyDescent="0.45">
      <c r="H167" s="1"/>
      <c r="O167"/>
    </row>
    <row r="168" spans="1:16" x14ac:dyDescent="0.45">
      <c r="B168">
        <v>6702</v>
      </c>
      <c r="C168" t="s">
        <v>208</v>
      </c>
      <c r="H168" s="1"/>
      <c r="O168"/>
    </row>
    <row r="169" spans="1:16" x14ac:dyDescent="0.45">
      <c r="C169" t="s">
        <v>209</v>
      </c>
      <c r="E169" s="5">
        <v>8100</v>
      </c>
      <c r="F169" s="5">
        <v>13216.45</v>
      </c>
      <c r="G169" s="8">
        <f t="shared" si="63"/>
        <v>-5116.4500000000007</v>
      </c>
      <c r="H169" s="1">
        <f t="shared" si="62"/>
        <v>1.6316604938271606</v>
      </c>
      <c r="I169" s="13">
        <v>8100</v>
      </c>
      <c r="J169" s="13">
        <v>16400</v>
      </c>
      <c r="K169" s="9">
        <f>J169-E169</f>
        <v>8300</v>
      </c>
      <c r="L169" s="1">
        <f>IF(E169&lt;&gt;0,K169/E169,"")</f>
        <v>1.0246913580246915</v>
      </c>
      <c r="M169" s="9">
        <f>J169-F169</f>
        <v>3183.5499999999993</v>
      </c>
      <c r="N169" s="1">
        <f>IF(F169&lt;&gt;0,M169/F169,"")</f>
        <v>0.24087784541234591</v>
      </c>
      <c r="O169" s="1">
        <v>0.3</v>
      </c>
      <c r="P169" s="5">
        <f>(1+O169)*F169</f>
        <v>17181.385000000002</v>
      </c>
    </row>
    <row r="170" spans="1:16" x14ac:dyDescent="0.45">
      <c r="C170" t="s">
        <v>210</v>
      </c>
      <c r="E170" s="5">
        <f>E169</f>
        <v>8100</v>
      </c>
      <c r="F170" s="5">
        <f t="shared" ref="F170:J170" si="78">F169</f>
        <v>13216.45</v>
      </c>
      <c r="G170" s="8">
        <f t="shared" si="63"/>
        <v>-5116.4500000000007</v>
      </c>
      <c r="H170" s="1">
        <f t="shared" si="62"/>
        <v>1.6316604938271606</v>
      </c>
      <c r="I170" s="5">
        <f t="shared" si="78"/>
        <v>8100</v>
      </c>
      <c r="J170" s="5">
        <f t="shared" si="78"/>
        <v>16400</v>
      </c>
      <c r="K170" s="9">
        <f>J170-E170</f>
        <v>8300</v>
      </c>
      <c r="L170" s="1">
        <f>IF(E170&lt;&gt;0,K170/E170,"")</f>
        <v>1.0246913580246915</v>
      </c>
      <c r="M170" s="9">
        <f>J170-F170</f>
        <v>3183.5499999999993</v>
      </c>
      <c r="N170" s="1">
        <f>IF(F170&lt;&gt;0,M170/F170,"")</f>
        <v>0.24087784541234591</v>
      </c>
      <c r="O170"/>
      <c r="P170" s="5">
        <f t="shared" ref="P170" si="79">P169</f>
        <v>17181.385000000002</v>
      </c>
    </row>
    <row r="171" spans="1:16" x14ac:dyDescent="0.45">
      <c r="H171" s="1"/>
      <c r="O171"/>
    </row>
    <row r="172" spans="1:16" x14ac:dyDescent="0.45">
      <c r="B172">
        <v>6700</v>
      </c>
      <c r="C172" t="s">
        <v>211</v>
      </c>
      <c r="H172" s="1"/>
      <c r="O172"/>
    </row>
    <row r="173" spans="1:16" x14ac:dyDescent="0.45">
      <c r="C173" t="s">
        <v>212</v>
      </c>
      <c r="E173" s="5">
        <v>510</v>
      </c>
      <c r="G173" s="8">
        <f t="shared" si="63"/>
        <v>510</v>
      </c>
      <c r="H173" s="1">
        <f t="shared" si="62"/>
        <v>0</v>
      </c>
      <c r="I173" s="5">
        <v>510</v>
      </c>
      <c r="J173" s="5">
        <v>510</v>
      </c>
      <c r="K173" s="9">
        <f t="shared" ref="K173:K178" si="80">J173-E173</f>
        <v>0</v>
      </c>
      <c r="L173" s="1">
        <f t="shared" ref="L173:L178" si="81">IF(E173&lt;&gt;0,K173/E173,"")</f>
        <v>0</v>
      </c>
      <c r="M173" s="9">
        <f t="shared" ref="M173:M178" si="82">J173-F173</f>
        <v>510</v>
      </c>
      <c r="N173" s="1" t="str">
        <f t="shared" ref="N173:N178" si="83">IF(F173&lt;&gt;0,M173/F173,"")</f>
        <v/>
      </c>
      <c r="O173"/>
      <c r="P173" s="5">
        <v>510</v>
      </c>
    </row>
    <row r="174" spans="1:16" x14ac:dyDescent="0.45">
      <c r="C174" t="s">
        <v>213</v>
      </c>
      <c r="G174" s="8">
        <f t="shared" si="63"/>
        <v>0</v>
      </c>
      <c r="H174" s="1" t="str">
        <f t="shared" si="62"/>
        <v/>
      </c>
      <c r="I174" s="5">
        <v>7200</v>
      </c>
      <c r="J174" s="5">
        <v>7200</v>
      </c>
      <c r="K174" s="9">
        <f t="shared" si="80"/>
        <v>7200</v>
      </c>
      <c r="L174" s="1" t="str">
        <f t="shared" si="81"/>
        <v/>
      </c>
      <c r="M174" s="9">
        <f t="shared" si="82"/>
        <v>7200</v>
      </c>
      <c r="N174" s="1" t="str">
        <f t="shared" si="83"/>
        <v/>
      </c>
      <c r="O174"/>
      <c r="P174" s="5">
        <v>7200</v>
      </c>
    </row>
    <row r="175" spans="1:16" x14ac:dyDescent="0.45">
      <c r="C175" t="s">
        <v>214</v>
      </c>
      <c r="G175" s="8">
        <f t="shared" si="63"/>
        <v>0</v>
      </c>
      <c r="H175" s="1" t="str">
        <f t="shared" si="62"/>
        <v/>
      </c>
      <c r="I175" s="5">
        <v>750</v>
      </c>
      <c r="J175" s="5">
        <v>750</v>
      </c>
      <c r="K175" s="9">
        <f t="shared" si="80"/>
        <v>750</v>
      </c>
      <c r="L175" s="1" t="str">
        <f t="shared" si="81"/>
        <v/>
      </c>
      <c r="M175" s="9">
        <f t="shared" si="82"/>
        <v>750</v>
      </c>
      <c r="N175" s="1" t="str">
        <f t="shared" si="83"/>
        <v/>
      </c>
      <c r="O175"/>
      <c r="P175" s="5">
        <v>750</v>
      </c>
    </row>
    <row r="176" spans="1:16" x14ac:dyDescent="0.45">
      <c r="C176" t="s">
        <v>215</v>
      </c>
      <c r="G176" s="8">
        <f t="shared" si="63"/>
        <v>0</v>
      </c>
      <c r="H176" s="1" t="str">
        <f t="shared" si="62"/>
        <v/>
      </c>
      <c r="I176" s="5">
        <v>0</v>
      </c>
      <c r="K176" s="9">
        <f t="shared" si="80"/>
        <v>0</v>
      </c>
      <c r="L176" s="1" t="str">
        <f t="shared" si="81"/>
        <v/>
      </c>
      <c r="M176" s="9">
        <f t="shared" si="82"/>
        <v>0</v>
      </c>
      <c r="N176" s="1" t="str">
        <f t="shared" si="83"/>
        <v/>
      </c>
      <c r="O176"/>
    </row>
    <row r="177" spans="1:16" x14ac:dyDescent="0.45">
      <c r="C177" t="s">
        <v>217</v>
      </c>
      <c r="E177" s="5">
        <v>10300</v>
      </c>
      <c r="G177" s="8">
        <f t="shared" si="63"/>
        <v>10300</v>
      </c>
      <c r="H177" s="1">
        <f t="shared" si="62"/>
        <v>0</v>
      </c>
      <c r="I177" s="5">
        <v>6000</v>
      </c>
      <c r="J177" s="5">
        <v>6000</v>
      </c>
      <c r="K177" s="9">
        <f t="shared" si="80"/>
        <v>-4300</v>
      </c>
      <c r="L177" s="1">
        <f t="shared" si="81"/>
        <v>-0.41747572815533979</v>
      </c>
      <c r="M177" s="9">
        <f t="shared" si="82"/>
        <v>6000</v>
      </c>
      <c r="N177" s="1" t="str">
        <f t="shared" si="83"/>
        <v/>
      </c>
      <c r="O177"/>
      <c r="P177" s="5">
        <v>3000</v>
      </c>
    </row>
    <row r="178" spans="1:16" x14ac:dyDescent="0.45">
      <c r="C178" t="s">
        <v>216</v>
      </c>
      <c r="E178" s="5">
        <f>SUM(E173:E177)</f>
        <v>10810</v>
      </c>
      <c r="F178" s="5">
        <v>18142.990000000002</v>
      </c>
      <c r="G178" s="8">
        <f t="shared" si="63"/>
        <v>-7332.9900000000016</v>
      </c>
      <c r="H178" s="1">
        <f t="shared" si="62"/>
        <v>1.6783524514338577</v>
      </c>
      <c r="I178" s="5">
        <f>SUM(I173:I177)</f>
        <v>14460</v>
      </c>
      <c r="J178" s="5">
        <f>SUM(J173:J177)</f>
        <v>14460</v>
      </c>
      <c r="K178" s="9">
        <f t="shared" si="80"/>
        <v>3650</v>
      </c>
      <c r="L178" s="1">
        <f t="shared" si="81"/>
        <v>0.33765032377428306</v>
      </c>
      <c r="M178" s="9">
        <f t="shared" si="82"/>
        <v>-3682.9900000000016</v>
      </c>
      <c r="N178" s="1">
        <f t="shared" si="83"/>
        <v>-0.2029979622983864</v>
      </c>
      <c r="O178"/>
      <c r="P178" s="5">
        <f>SUM(P173:P177)</f>
        <v>11460</v>
      </c>
    </row>
    <row r="179" spans="1:16" x14ac:dyDescent="0.45">
      <c r="H179" s="1"/>
      <c r="O179"/>
    </row>
    <row r="180" spans="1:16" x14ac:dyDescent="0.45">
      <c r="B180">
        <v>6505</v>
      </c>
      <c r="C180" t="s">
        <v>218</v>
      </c>
      <c r="H180" s="1"/>
      <c r="O180"/>
    </row>
    <row r="181" spans="1:16" x14ac:dyDescent="0.45">
      <c r="C181" t="s">
        <v>219</v>
      </c>
      <c r="E181" s="5">
        <v>500</v>
      </c>
      <c r="G181" s="8">
        <f t="shared" si="63"/>
        <v>500</v>
      </c>
      <c r="H181" s="1">
        <f t="shared" si="62"/>
        <v>0</v>
      </c>
      <c r="I181" s="5">
        <v>1000</v>
      </c>
      <c r="J181" s="5">
        <v>1000</v>
      </c>
      <c r="K181" s="9">
        <f>J181-E181</f>
        <v>500</v>
      </c>
      <c r="L181" s="1">
        <f>IF(E181&lt;&gt;0,K181/E181,"")</f>
        <v>1</v>
      </c>
      <c r="M181" s="9">
        <f>J181-F181</f>
        <v>1000</v>
      </c>
      <c r="N181" s="1" t="str">
        <f>IF(F181&lt;&gt;0,M181/F181,"")</f>
        <v/>
      </c>
      <c r="O181"/>
      <c r="P181" s="5">
        <v>1000</v>
      </c>
    </row>
    <row r="182" spans="1:16" x14ac:dyDescent="0.45">
      <c r="C182" t="s">
        <v>220</v>
      </c>
      <c r="E182" s="5">
        <v>500</v>
      </c>
      <c r="G182" s="8">
        <f t="shared" si="63"/>
        <v>500</v>
      </c>
      <c r="H182" s="1">
        <f t="shared" si="62"/>
        <v>0</v>
      </c>
      <c r="I182" s="5">
        <v>800</v>
      </c>
      <c r="J182" s="5">
        <v>800</v>
      </c>
      <c r="K182" s="9">
        <f>J182-E182</f>
        <v>300</v>
      </c>
      <c r="L182" s="1">
        <f>IF(E182&lt;&gt;0,K182/E182,"")</f>
        <v>0.6</v>
      </c>
      <c r="M182" s="9">
        <f>J182-F182</f>
        <v>800</v>
      </c>
      <c r="N182" s="1" t="str">
        <f>IF(F182&lt;&gt;0,M182/F182,"")</f>
        <v/>
      </c>
      <c r="O182"/>
      <c r="P182" s="5">
        <v>500</v>
      </c>
    </row>
    <row r="183" spans="1:16" x14ac:dyDescent="0.45">
      <c r="C183" t="s">
        <v>221</v>
      </c>
      <c r="G183" s="8">
        <f t="shared" si="63"/>
        <v>0</v>
      </c>
      <c r="H183" s="1" t="str">
        <f t="shared" si="62"/>
        <v/>
      </c>
      <c r="I183" s="5">
        <v>3000</v>
      </c>
      <c r="J183" s="5">
        <v>3000</v>
      </c>
      <c r="K183" s="9">
        <f>J183-E183</f>
        <v>3000</v>
      </c>
      <c r="L183" s="1" t="str">
        <f>IF(E183&lt;&gt;0,K183/E183,"")</f>
        <v/>
      </c>
      <c r="M183" s="9">
        <f>J183-F183</f>
        <v>3000</v>
      </c>
      <c r="N183" s="1" t="str">
        <f>IF(F183&lt;&gt;0,M183/F183,"")</f>
        <v/>
      </c>
      <c r="O183"/>
      <c r="P183" s="5">
        <v>3000</v>
      </c>
    </row>
    <row r="184" spans="1:16" x14ac:dyDescent="0.45">
      <c r="C184" t="s">
        <v>222</v>
      </c>
      <c r="E184" s="5">
        <v>500</v>
      </c>
      <c r="G184" s="8">
        <f t="shared" si="63"/>
        <v>500</v>
      </c>
      <c r="H184" s="1">
        <f t="shared" si="62"/>
        <v>0</v>
      </c>
      <c r="I184" s="5">
        <v>500</v>
      </c>
      <c r="J184" s="5">
        <v>500</v>
      </c>
      <c r="K184" s="9">
        <f>J184-E184</f>
        <v>0</v>
      </c>
      <c r="L184" s="1">
        <f>IF(E184&lt;&gt;0,K184/E184,"")</f>
        <v>0</v>
      </c>
      <c r="M184" s="9">
        <f>J184-F184</f>
        <v>500</v>
      </c>
      <c r="N184" s="1" t="str">
        <f>IF(F184&lt;&gt;0,M184/F184,"")</f>
        <v/>
      </c>
      <c r="O184"/>
      <c r="P184" s="5">
        <v>500</v>
      </c>
    </row>
    <row r="185" spans="1:16" x14ac:dyDescent="0.45">
      <c r="C185" t="s">
        <v>223</v>
      </c>
      <c r="E185" s="5">
        <v>5500</v>
      </c>
      <c r="F185" s="5">
        <v>10977.86</v>
      </c>
      <c r="G185" s="8">
        <f t="shared" si="63"/>
        <v>-5477.8600000000006</v>
      </c>
      <c r="H185" s="1">
        <f t="shared" si="62"/>
        <v>1.9959745454545457</v>
      </c>
      <c r="I185" s="5">
        <f t="shared" ref="I185:J185" si="84">SUM(I181:I184)</f>
        <v>5300</v>
      </c>
      <c r="J185" s="5">
        <f t="shared" si="84"/>
        <v>5300</v>
      </c>
      <c r="K185" s="9">
        <f>J185-E185</f>
        <v>-200</v>
      </c>
      <c r="L185" s="1">
        <f>IF(E185&lt;&gt;0,K185/E185,"")</f>
        <v>-3.6363636363636362E-2</v>
      </c>
      <c r="M185" s="9">
        <f>J185-F185</f>
        <v>-5677.8600000000006</v>
      </c>
      <c r="N185" s="1">
        <f>IF(F185&lt;&gt;0,M185/F185,"")</f>
        <v>-0.51721009377055271</v>
      </c>
      <c r="O185"/>
      <c r="P185" s="5">
        <f t="shared" ref="P185" si="85">SUM(P181:P184)</f>
        <v>5000</v>
      </c>
    </row>
    <row r="186" spans="1:16" x14ac:dyDescent="0.45">
      <c r="H186" s="1"/>
      <c r="O186"/>
    </row>
    <row r="187" spans="1:16" x14ac:dyDescent="0.45">
      <c r="B187">
        <v>6794</v>
      </c>
      <c r="C187" t="s">
        <v>225</v>
      </c>
      <c r="E187" s="5">
        <v>0</v>
      </c>
      <c r="F187" s="5">
        <v>98.7</v>
      </c>
      <c r="G187" s="8">
        <f t="shared" si="63"/>
        <v>-98.7</v>
      </c>
      <c r="H187" s="1" t="str">
        <f t="shared" si="62"/>
        <v/>
      </c>
      <c r="I187" s="5">
        <v>0</v>
      </c>
      <c r="J187" s="5">
        <v>0</v>
      </c>
      <c r="K187" s="9">
        <f>J187-E187</f>
        <v>0</v>
      </c>
      <c r="L187" s="1" t="str">
        <f>IF(E187&lt;&gt;0,K187/E187,"")</f>
        <v/>
      </c>
      <c r="M187" s="9">
        <f>J187-F187</f>
        <v>-98.7</v>
      </c>
      <c r="N187" s="1">
        <f>IF(F187&lt;&gt;0,M187/F187,"")</f>
        <v>-1</v>
      </c>
      <c r="O187"/>
      <c r="P187" s="5">
        <v>0</v>
      </c>
    </row>
    <row r="188" spans="1:16" x14ac:dyDescent="0.45">
      <c r="H188" s="1"/>
      <c r="O188"/>
    </row>
    <row r="189" spans="1:16" x14ac:dyDescent="0.45">
      <c r="C189" t="s">
        <v>193</v>
      </c>
      <c r="E189" s="5">
        <f>E144+E148+E156+E161+E166+E170+E178+E185+E187</f>
        <v>57510</v>
      </c>
      <c r="F189" s="5">
        <f t="shared" ref="F189:J189" si="86">F144+F148+F156+F161+F166+F170+F178+F185+F187</f>
        <v>79350.77</v>
      </c>
      <c r="G189" s="8">
        <f t="shared" si="86"/>
        <v>-21840.770000000004</v>
      </c>
      <c r="H189" s="1">
        <f t="shared" si="62"/>
        <v>1.379773430707703</v>
      </c>
      <c r="I189" s="5">
        <f t="shared" ref="I189" si="87">I144+I148+I156+I161+I166+I170+I178+I185+I187</f>
        <v>88696</v>
      </c>
      <c r="J189" s="5">
        <f t="shared" si="86"/>
        <v>96996</v>
      </c>
      <c r="K189" s="9">
        <f>J189-E189</f>
        <v>39486</v>
      </c>
      <c r="L189" s="1">
        <f>IF(E189&lt;&gt;0,K189/E189,"")</f>
        <v>0.68659363588941058</v>
      </c>
      <c r="M189" s="9">
        <f>J189-F189</f>
        <v>17645.229999999996</v>
      </c>
      <c r="N189" s="1">
        <f>IF(F189&lt;&gt;0,M189/F189,"")</f>
        <v>0.22236999086461284</v>
      </c>
      <c r="O189"/>
      <c r="P189" s="5">
        <f t="shared" ref="P189" si="88">P144+P148+P156+P161+P166+P170+P178+P185+P187</f>
        <v>73507.035000000003</v>
      </c>
    </row>
    <row r="190" spans="1:16" x14ac:dyDescent="0.45">
      <c r="H190" s="1"/>
    </row>
    <row r="191" spans="1:16" x14ac:dyDescent="0.45">
      <c r="A191" t="s">
        <v>155</v>
      </c>
      <c r="H191" s="1"/>
    </row>
    <row r="192" spans="1:16" x14ac:dyDescent="0.45">
      <c r="B192">
        <v>7020</v>
      </c>
      <c r="C192" t="s">
        <v>156</v>
      </c>
      <c r="H192" s="1"/>
    </row>
    <row r="193" spans="1:16" x14ac:dyDescent="0.45">
      <c r="C193" t="s">
        <v>157</v>
      </c>
      <c r="G193" s="8">
        <f t="shared" si="63"/>
        <v>0</v>
      </c>
      <c r="H193" s="1" t="str">
        <f t="shared" si="62"/>
        <v/>
      </c>
      <c r="I193" s="5">
        <v>4000</v>
      </c>
      <c r="J193" s="5">
        <v>4000</v>
      </c>
      <c r="K193" s="9">
        <f>J193-E193</f>
        <v>4000</v>
      </c>
      <c r="L193" s="1" t="str">
        <f>IF(E193&lt;&gt;0,K193/E193,"")</f>
        <v/>
      </c>
      <c r="M193" s="9">
        <f>J193-F193</f>
        <v>4000</v>
      </c>
      <c r="N193" s="1" t="str">
        <f>IF(F193&lt;&gt;0,M193/F193,"")</f>
        <v/>
      </c>
      <c r="P193" s="5">
        <v>4000</v>
      </c>
    </row>
    <row r="194" spans="1:16" x14ac:dyDescent="0.45">
      <c r="C194" t="s">
        <v>158</v>
      </c>
      <c r="E194" s="5">
        <f>E193</f>
        <v>0</v>
      </c>
      <c r="F194" s="5">
        <v>3224.15</v>
      </c>
      <c r="G194" s="8">
        <f t="shared" si="63"/>
        <v>-3224.15</v>
      </c>
      <c r="H194" s="1" t="str">
        <f t="shared" si="62"/>
        <v/>
      </c>
      <c r="I194" s="5">
        <f t="shared" ref="I194:J194" si="89">I193</f>
        <v>4000</v>
      </c>
      <c r="J194" s="5">
        <f t="shared" si="89"/>
        <v>4000</v>
      </c>
      <c r="K194" s="9">
        <f>J194-E194</f>
        <v>4000</v>
      </c>
      <c r="L194" s="1" t="str">
        <f>IF(E194&lt;&gt;0,K194/E194,"")</f>
        <v/>
      </c>
      <c r="M194" s="9">
        <f>J194-F194</f>
        <v>775.84999999999991</v>
      </c>
      <c r="N194" s="1">
        <f>IF(F194&lt;&gt;0,M194/F194,"")</f>
        <v>0.24063706713397326</v>
      </c>
      <c r="P194" s="5">
        <f t="shared" ref="P194" si="90">P193</f>
        <v>4000</v>
      </c>
    </row>
    <row r="195" spans="1:16" x14ac:dyDescent="0.45">
      <c r="H195" s="1"/>
    </row>
    <row r="196" spans="1:16" x14ac:dyDescent="0.45">
      <c r="B196">
        <v>7040</v>
      </c>
      <c r="C196" t="s">
        <v>7</v>
      </c>
      <c r="H196" s="1"/>
    </row>
    <row r="197" spans="1:16" x14ac:dyDescent="0.45">
      <c r="C197" t="s">
        <v>159</v>
      </c>
      <c r="D197" s="3">
        <v>15</v>
      </c>
      <c r="E197" s="5">
        <v>38483</v>
      </c>
      <c r="G197" s="8">
        <f t="shared" si="63"/>
        <v>38483</v>
      </c>
      <c r="H197" s="1">
        <f t="shared" si="62"/>
        <v>0</v>
      </c>
      <c r="I197" s="5">
        <v>46440</v>
      </c>
      <c r="J197" s="5">
        <v>46440</v>
      </c>
      <c r="K197" s="9">
        <f>J197-E197</f>
        <v>7957</v>
      </c>
      <c r="L197" s="1">
        <f>IF(E197&lt;&gt;0,K197/E197,"")</f>
        <v>0.20676662422368319</v>
      </c>
      <c r="M197" s="9">
        <f>J197-F197</f>
        <v>46440</v>
      </c>
      <c r="N197" s="1" t="str">
        <f>IF(F197&lt;&gt;0,M197/F197,"")</f>
        <v/>
      </c>
      <c r="P197" s="5">
        <v>46440</v>
      </c>
    </row>
    <row r="198" spans="1:16" x14ac:dyDescent="0.45">
      <c r="C198" t="s">
        <v>160</v>
      </c>
      <c r="E198" s="5">
        <f>E197</f>
        <v>38483</v>
      </c>
      <c r="F198" s="5">
        <v>40426.480000000003</v>
      </c>
      <c r="G198" s="8">
        <f t="shared" si="63"/>
        <v>-1943.4800000000032</v>
      </c>
      <c r="H198" s="1">
        <f t="shared" si="62"/>
        <v>1.0505022997167581</v>
      </c>
      <c r="I198" s="5">
        <f t="shared" ref="I198:J198" si="91">I197</f>
        <v>46440</v>
      </c>
      <c r="J198" s="5">
        <f t="shared" si="91"/>
        <v>46440</v>
      </c>
      <c r="K198" s="9">
        <f>J198-E198</f>
        <v>7957</v>
      </c>
      <c r="L198" s="1">
        <f>IF(E198&lt;&gt;0,K198/E198,"")</f>
        <v>0.20676662422368319</v>
      </c>
      <c r="M198" s="9">
        <f>J198-F198</f>
        <v>6013.5199999999968</v>
      </c>
      <c r="N198" s="1">
        <f>IF(F198&lt;&gt;0,M198/F198,"")</f>
        <v>0.14875200611084607</v>
      </c>
      <c r="P198" s="5">
        <f t="shared" ref="P198" si="92">P197</f>
        <v>46440</v>
      </c>
    </row>
    <row r="199" spans="1:16" x14ac:dyDescent="0.45">
      <c r="H199" s="1"/>
      <c r="N199" s="1" t="str">
        <f>IF(F199&lt;&gt;0,M199/F199,"")</f>
        <v/>
      </c>
    </row>
    <row r="200" spans="1:16" x14ac:dyDescent="0.45">
      <c r="C200" t="s">
        <v>161</v>
      </c>
      <c r="E200" s="5">
        <f>E194+E198</f>
        <v>38483</v>
      </c>
      <c r="F200" s="5">
        <f t="shared" ref="F200:J200" si="93">F194+F198</f>
        <v>43650.630000000005</v>
      </c>
      <c r="G200" s="8">
        <f t="shared" si="63"/>
        <v>-5167.6300000000047</v>
      </c>
      <c r="H200" s="1">
        <f t="shared" si="62"/>
        <v>1.1342834498349923</v>
      </c>
      <c r="I200" s="5">
        <f t="shared" ref="I200" si="94">I194+I198</f>
        <v>50440</v>
      </c>
      <c r="J200" s="5">
        <f t="shared" si="93"/>
        <v>50440</v>
      </c>
      <c r="K200" s="9">
        <f>J200-E200</f>
        <v>11957</v>
      </c>
      <c r="L200" s="1">
        <f>IF(E200&lt;&gt;0,K200/E200,"")</f>
        <v>0.31070862458748016</v>
      </c>
      <c r="M200" s="9">
        <f>J200-F200</f>
        <v>6789.3699999999953</v>
      </c>
      <c r="N200" s="1">
        <f>IF(F200&lt;&gt;0,M200/F200,"")</f>
        <v>0.15553887767484673</v>
      </c>
      <c r="P200" s="5">
        <f t="shared" ref="P200" si="95">P194+P198</f>
        <v>50440</v>
      </c>
    </row>
    <row r="201" spans="1:16" x14ac:dyDescent="0.45">
      <c r="H201" s="1"/>
    </row>
    <row r="202" spans="1:16" x14ac:dyDescent="0.45">
      <c r="A202" t="s">
        <v>162</v>
      </c>
      <c r="H202" s="1"/>
    </row>
    <row r="203" spans="1:16" x14ac:dyDescent="0.45">
      <c r="B203">
        <v>9015</v>
      </c>
      <c r="C203" t="s">
        <v>163</v>
      </c>
      <c r="H203" s="1"/>
    </row>
    <row r="204" spans="1:16" x14ac:dyDescent="0.45">
      <c r="C204" t="s">
        <v>164</v>
      </c>
      <c r="E204" s="5">
        <v>700</v>
      </c>
      <c r="F204" s="5">
        <v>6301.06</v>
      </c>
      <c r="G204" s="8">
        <f t="shared" si="63"/>
        <v>-5601.06</v>
      </c>
      <c r="H204" s="1">
        <f t="shared" ref="H204:H264" si="96">IF(E204&lt;&gt;0,F204/E204,"")</f>
        <v>9.0015142857142862</v>
      </c>
      <c r="I204" s="13">
        <v>10200</v>
      </c>
      <c r="J204" s="13">
        <v>6800</v>
      </c>
      <c r="K204" s="9">
        <f>J204-E204</f>
        <v>6100</v>
      </c>
      <c r="L204" s="1">
        <f>IF(E204&lt;&gt;0,K204/E204,"")</f>
        <v>8.7142857142857135</v>
      </c>
      <c r="M204" s="9">
        <f>J204-F204</f>
        <v>498.9399999999996</v>
      </c>
      <c r="N204" s="1">
        <f>IF(F204&lt;&gt;0,M204/F204,"")</f>
        <v>7.9183502458316471E-2</v>
      </c>
      <c r="P204" s="13">
        <v>6800</v>
      </c>
    </row>
    <row r="205" spans="1:16" x14ac:dyDescent="0.45">
      <c r="C205" t="s">
        <v>235</v>
      </c>
      <c r="E205" s="5">
        <f>E204</f>
        <v>700</v>
      </c>
      <c r="F205" s="5">
        <f t="shared" ref="F205:J205" si="97">F204</f>
        <v>6301.06</v>
      </c>
      <c r="G205" s="5">
        <f t="shared" si="97"/>
        <v>-5601.06</v>
      </c>
      <c r="H205" s="1">
        <f t="shared" si="96"/>
        <v>9.0015142857142862</v>
      </c>
      <c r="I205" s="5">
        <f t="shared" si="97"/>
        <v>10200</v>
      </c>
      <c r="J205" s="5">
        <f t="shared" si="97"/>
        <v>6800</v>
      </c>
      <c r="K205" s="9">
        <f>J205-E205</f>
        <v>6100</v>
      </c>
      <c r="L205" s="1">
        <f>IF(E205&lt;&gt;0,K205/E205,"")</f>
        <v>8.7142857142857135</v>
      </c>
      <c r="M205" s="9">
        <f>J205-F205</f>
        <v>498.9399999999996</v>
      </c>
      <c r="N205" s="1">
        <f>IF(F205&lt;&gt;0,M205/F205,"")</f>
        <v>7.9183502458316471E-2</v>
      </c>
      <c r="P205" s="5">
        <f t="shared" ref="P205" si="98">P204</f>
        <v>6800</v>
      </c>
    </row>
    <row r="206" spans="1:16" x14ac:dyDescent="0.45">
      <c r="H206" s="1"/>
      <c r="I206" s="13"/>
      <c r="J206" s="13"/>
      <c r="P206" s="13"/>
    </row>
    <row r="207" spans="1:16" x14ac:dyDescent="0.45">
      <c r="C207" t="s">
        <v>165</v>
      </c>
      <c r="E207" s="5">
        <f>E205</f>
        <v>700</v>
      </c>
      <c r="F207" s="5">
        <f t="shared" ref="F207:I207" si="99">F205</f>
        <v>6301.06</v>
      </c>
      <c r="G207" s="5">
        <f t="shared" si="99"/>
        <v>-5601.06</v>
      </c>
      <c r="H207" s="1">
        <f t="shared" si="96"/>
        <v>9.0015142857142862</v>
      </c>
      <c r="I207" s="5">
        <f t="shared" si="99"/>
        <v>10200</v>
      </c>
      <c r="J207" s="5">
        <f>J205</f>
        <v>6800</v>
      </c>
      <c r="K207" s="9">
        <f>J207-E207</f>
        <v>6100</v>
      </c>
      <c r="L207" s="1">
        <f>IF(E207&lt;&gt;0,K207/E207,"")</f>
        <v>8.7142857142857135</v>
      </c>
      <c r="M207" s="9">
        <f>J207-F207</f>
        <v>498.9399999999996</v>
      </c>
      <c r="N207" s="1">
        <f>IF(F207&lt;&gt;0,M207/F207,"")</f>
        <v>7.9183502458316471E-2</v>
      </c>
      <c r="P207" s="5">
        <f>P205</f>
        <v>6800</v>
      </c>
    </row>
    <row r="208" spans="1:16" x14ac:dyDescent="0.45">
      <c r="H208" s="1"/>
    </row>
    <row r="209" spans="1:16" x14ac:dyDescent="0.45">
      <c r="A209" t="s">
        <v>170</v>
      </c>
      <c r="B209">
        <v>6685</v>
      </c>
      <c r="C209" t="s">
        <v>171</v>
      </c>
      <c r="H209" s="1"/>
    </row>
    <row r="210" spans="1:16" x14ac:dyDescent="0.45">
      <c r="C210" t="s">
        <v>172</v>
      </c>
      <c r="E210" s="5">
        <v>1000</v>
      </c>
      <c r="G210" s="8">
        <f t="shared" ref="G210:G248" si="100">E210-F210</f>
        <v>1000</v>
      </c>
      <c r="H210" s="1">
        <f t="shared" si="96"/>
        <v>0</v>
      </c>
      <c r="I210" s="5">
        <v>1017</v>
      </c>
      <c r="J210" s="5">
        <v>1017</v>
      </c>
      <c r="K210" s="9">
        <f t="shared" ref="K210:K219" si="101">J210-E210</f>
        <v>17</v>
      </c>
      <c r="L210" s="1">
        <f t="shared" ref="L210:L219" si="102">IF(E210&lt;&gt;0,K210/E210,"")</f>
        <v>1.7000000000000001E-2</v>
      </c>
      <c r="M210" s="9">
        <f t="shared" ref="M210:M219" si="103">J210-F210</f>
        <v>1017</v>
      </c>
      <c r="N210" s="1" t="str">
        <f t="shared" ref="N210:N219" si="104">IF(F210&lt;&gt;0,M210/F210,"")</f>
        <v/>
      </c>
      <c r="P210" s="5">
        <v>1017</v>
      </c>
    </row>
    <row r="211" spans="1:16" x14ac:dyDescent="0.45">
      <c r="C211" t="s">
        <v>173</v>
      </c>
      <c r="E211" s="5">
        <v>460</v>
      </c>
      <c r="G211" s="8">
        <f t="shared" si="100"/>
        <v>460</v>
      </c>
      <c r="H211" s="1">
        <f t="shared" si="96"/>
        <v>0</v>
      </c>
      <c r="I211" s="5">
        <v>460</v>
      </c>
      <c r="J211" s="5">
        <v>460</v>
      </c>
      <c r="K211" s="9">
        <f t="shared" si="101"/>
        <v>0</v>
      </c>
      <c r="L211" s="1">
        <f t="shared" si="102"/>
        <v>0</v>
      </c>
      <c r="M211" s="9">
        <f t="shared" si="103"/>
        <v>460</v>
      </c>
      <c r="N211" s="1" t="str">
        <f t="shared" si="104"/>
        <v/>
      </c>
      <c r="P211" s="5">
        <v>460</v>
      </c>
    </row>
    <row r="212" spans="1:16" x14ac:dyDescent="0.45">
      <c r="C212" t="s">
        <v>174</v>
      </c>
      <c r="E212" s="5">
        <v>1900</v>
      </c>
      <c r="G212" s="8">
        <f t="shared" si="100"/>
        <v>1900</v>
      </c>
      <c r="H212" s="1">
        <f t="shared" si="96"/>
        <v>0</v>
      </c>
      <c r="I212" s="5">
        <v>1892</v>
      </c>
      <c r="J212" s="5">
        <v>1892</v>
      </c>
      <c r="K212" s="9">
        <f t="shared" si="101"/>
        <v>-8</v>
      </c>
      <c r="L212" s="1">
        <f t="shared" si="102"/>
        <v>-4.2105263157894736E-3</v>
      </c>
      <c r="M212" s="9">
        <f t="shared" si="103"/>
        <v>1892</v>
      </c>
      <c r="N212" s="1" t="str">
        <f t="shared" si="104"/>
        <v/>
      </c>
      <c r="P212" s="5">
        <v>1892</v>
      </c>
    </row>
    <row r="213" spans="1:16" x14ac:dyDescent="0.45">
      <c r="C213" t="s">
        <v>175</v>
      </c>
      <c r="E213" s="5">
        <v>1200</v>
      </c>
      <c r="G213" s="8">
        <f t="shared" si="100"/>
        <v>1200</v>
      </c>
      <c r="H213" s="1">
        <f t="shared" si="96"/>
        <v>0</v>
      </c>
      <c r="I213" s="5">
        <v>1200</v>
      </c>
      <c r="J213" s="5">
        <v>1200</v>
      </c>
      <c r="K213" s="9">
        <f t="shared" si="101"/>
        <v>0</v>
      </c>
      <c r="L213" s="1">
        <f t="shared" si="102"/>
        <v>0</v>
      </c>
      <c r="M213" s="9">
        <f t="shared" si="103"/>
        <v>1200</v>
      </c>
      <c r="N213" s="1" t="str">
        <f t="shared" si="104"/>
        <v/>
      </c>
      <c r="P213" s="5">
        <v>1200</v>
      </c>
    </row>
    <row r="214" spans="1:16" x14ac:dyDescent="0.45">
      <c r="C214" t="s">
        <v>176</v>
      </c>
      <c r="E214" s="5">
        <v>110</v>
      </c>
      <c r="G214" s="8">
        <f t="shared" si="100"/>
        <v>110</v>
      </c>
      <c r="H214" s="1">
        <f t="shared" si="96"/>
        <v>0</v>
      </c>
      <c r="I214" s="5">
        <v>2000</v>
      </c>
      <c r="J214" s="5">
        <v>2000</v>
      </c>
      <c r="K214" s="9">
        <f t="shared" si="101"/>
        <v>1890</v>
      </c>
      <c r="L214" s="1">
        <f t="shared" si="102"/>
        <v>17.181818181818183</v>
      </c>
      <c r="M214" s="9">
        <f t="shared" si="103"/>
        <v>2000</v>
      </c>
      <c r="N214" s="1" t="str">
        <f t="shared" si="104"/>
        <v/>
      </c>
      <c r="P214" s="5">
        <v>2000</v>
      </c>
    </row>
    <row r="215" spans="1:16" x14ac:dyDescent="0.45">
      <c r="C215" t="s">
        <v>177</v>
      </c>
      <c r="E215" s="5">
        <v>260</v>
      </c>
      <c r="G215" s="8">
        <f t="shared" si="100"/>
        <v>260</v>
      </c>
      <c r="H215" s="1">
        <f t="shared" si="96"/>
        <v>0</v>
      </c>
      <c r="I215" s="5">
        <v>0</v>
      </c>
      <c r="J215" s="5">
        <v>0</v>
      </c>
      <c r="K215" s="9">
        <f t="shared" si="101"/>
        <v>-260</v>
      </c>
      <c r="L215" s="1">
        <f t="shared" si="102"/>
        <v>-1</v>
      </c>
      <c r="M215" s="9">
        <f t="shared" si="103"/>
        <v>0</v>
      </c>
      <c r="N215" s="1" t="str">
        <f t="shared" si="104"/>
        <v/>
      </c>
      <c r="P215" s="5">
        <v>0</v>
      </c>
    </row>
    <row r="216" spans="1:16" x14ac:dyDescent="0.45">
      <c r="C216" t="s">
        <v>178</v>
      </c>
      <c r="E216" s="5">
        <v>1650</v>
      </c>
      <c r="G216" s="8">
        <f t="shared" si="100"/>
        <v>1650</v>
      </c>
      <c r="H216" s="1">
        <f t="shared" si="96"/>
        <v>0</v>
      </c>
      <c r="I216" s="5">
        <v>0</v>
      </c>
      <c r="J216" s="5">
        <v>0</v>
      </c>
      <c r="K216" s="9">
        <f t="shared" si="101"/>
        <v>-1650</v>
      </c>
      <c r="L216" s="1">
        <f t="shared" si="102"/>
        <v>-1</v>
      </c>
      <c r="M216" s="9">
        <f t="shared" si="103"/>
        <v>0</v>
      </c>
      <c r="N216" s="1" t="str">
        <f t="shared" si="104"/>
        <v/>
      </c>
      <c r="P216" s="5">
        <v>0</v>
      </c>
    </row>
    <row r="217" spans="1:16" x14ac:dyDescent="0.45">
      <c r="C217" t="s">
        <v>179</v>
      </c>
      <c r="G217" s="8">
        <f t="shared" si="100"/>
        <v>0</v>
      </c>
      <c r="H217" s="1" t="str">
        <f t="shared" si="96"/>
        <v/>
      </c>
      <c r="I217" s="5">
        <v>1500</v>
      </c>
      <c r="J217" s="5">
        <v>1500</v>
      </c>
      <c r="K217" s="9">
        <f t="shared" si="101"/>
        <v>1500</v>
      </c>
      <c r="L217" s="1" t="str">
        <f t="shared" si="102"/>
        <v/>
      </c>
      <c r="M217" s="9">
        <f t="shared" si="103"/>
        <v>1500</v>
      </c>
      <c r="N217" s="1" t="str">
        <f t="shared" si="104"/>
        <v/>
      </c>
      <c r="P217" s="5">
        <v>1500</v>
      </c>
    </row>
    <row r="218" spans="1:16" x14ac:dyDescent="0.45">
      <c r="C218" t="s">
        <v>180</v>
      </c>
      <c r="E218" s="5">
        <v>1200</v>
      </c>
      <c r="G218" s="8">
        <f t="shared" si="100"/>
        <v>1200</v>
      </c>
      <c r="H218" s="1">
        <f t="shared" si="96"/>
        <v>0</v>
      </c>
      <c r="I218" s="5">
        <v>1200</v>
      </c>
      <c r="J218" s="5">
        <v>1200</v>
      </c>
      <c r="K218" s="9">
        <f t="shared" si="101"/>
        <v>0</v>
      </c>
      <c r="L218" s="1">
        <f t="shared" si="102"/>
        <v>0</v>
      </c>
      <c r="M218" s="9">
        <f t="shared" si="103"/>
        <v>1200</v>
      </c>
      <c r="N218" s="1" t="str">
        <f t="shared" si="104"/>
        <v/>
      </c>
      <c r="P218" s="5">
        <v>1200</v>
      </c>
    </row>
    <row r="219" spans="1:16" x14ac:dyDescent="0.45">
      <c r="C219" t="s">
        <v>181</v>
      </c>
      <c r="E219" s="5">
        <f t="shared" ref="E219" si="105">SUM(E210:E218)</f>
        <v>7780</v>
      </c>
      <c r="F219" s="5">
        <v>7471.25</v>
      </c>
      <c r="G219" s="8">
        <f t="shared" si="100"/>
        <v>308.75</v>
      </c>
      <c r="H219" s="1">
        <f t="shared" si="96"/>
        <v>0.9603149100257069</v>
      </c>
      <c r="I219" s="5">
        <f>SUM(I210:I218)</f>
        <v>9269</v>
      </c>
      <c r="J219" s="5">
        <f>SUM(J210:J218)</f>
        <v>9269</v>
      </c>
      <c r="K219" s="9">
        <f t="shared" si="101"/>
        <v>1489</v>
      </c>
      <c r="L219" s="1">
        <f t="shared" si="102"/>
        <v>0.19138817480719794</v>
      </c>
      <c r="M219" s="9">
        <f t="shared" si="103"/>
        <v>1797.75</v>
      </c>
      <c r="N219" s="1">
        <f t="shared" si="104"/>
        <v>0.2406223858122804</v>
      </c>
      <c r="P219" s="5">
        <f>SUM(P210:P218)</f>
        <v>9269</v>
      </c>
    </row>
    <row r="220" spans="1:16" x14ac:dyDescent="0.45">
      <c r="H220" s="1"/>
    </row>
    <row r="221" spans="1:16" x14ac:dyDescent="0.45">
      <c r="B221">
        <v>6003</v>
      </c>
      <c r="C221" t="s">
        <v>182</v>
      </c>
      <c r="H221" s="1"/>
    </row>
    <row r="222" spans="1:16" x14ac:dyDescent="0.45">
      <c r="C222" t="s">
        <v>183</v>
      </c>
      <c r="E222" s="5">
        <v>1370</v>
      </c>
      <c r="F222" s="5">
        <v>1151.3699999999999</v>
      </c>
      <c r="G222" s="8">
        <f t="shared" si="100"/>
        <v>218.63000000000011</v>
      </c>
      <c r="H222" s="1">
        <f t="shared" si="96"/>
        <v>0.84041605839416056</v>
      </c>
      <c r="I222" s="5">
        <v>1370</v>
      </c>
      <c r="J222" s="5">
        <v>1370</v>
      </c>
      <c r="K222" s="9">
        <f>J222-E222</f>
        <v>0</v>
      </c>
      <c r="L222" s="1">
        <f>IF(E222&lt;&gt;0,K222/E222,"")</f>
        <v>0</v>
      </c>
      <c r="M222" s="9">
        <f>J222-F222</f>
        <v>218.63000000000011</v>
      </c>
      <c r="N222" s="1">
        <f>IF(F222&lt;&gt;0,M222/F222,"")</f>
        <v>0.18988683047152535</v>
      </c>
      <c r="P222" s="5">
        <v>1370</v>
      </c>
    </row>
    <row r="223" spans="1:16" x14ac:dyDescent="0.45">
      <c r="C223" t="s">
        <v>184</v>
      </c>
      <c r="E223" s="5">
        <f>E222</f>
        <v>1370</v>
      </c>
      <c r="F223" s="5">
        <f t="shared" ref="F223:J223" si="106">F222</f>
        <v>1151.3699999999999</v>
      </c>
      <c r="G223" s="8">
        <f t="shared" si="100"/>
        <v>218.63000000000011</v>
      </c>
      <c r="H223" s="1">
        <f t="shared" si="96"/>
        <v>0.84041605839416056</v>
      </c>
      <c r="I223" s="5">
        <f t="shared" si="106"/>
        <v>1370</v>
      </c>
      <c r="J223" s="5">
        <f t="shared" si="106"/>
        <v>1370</v>
      </c>
      <c r="K223" s="9">
        <f>J223-E223</f>
        <v>0</v>
      </c>
      <c r="L223" s="1">
        <f>IF(E223&lt;&gt;0,K223/E223,"")</f>
        <v>0</v>
      </c>
      <c r="M223" s="9">
        <f>J223-F223</f>
        <v>218.63000000000011</v>
      </c>
      <c r="N223" s="1">
        <f>IF(F223&lt;&gt;0,M223/F223,"")</f>
        <v>0.18988683047152535</v>
      </c>
      <c r="P223" s="5">
        <f t="shared" ref="P223" si="107">P222</f>
        <v>1370</v>
      </c>
    </row>
    <row r="224" spans="1:16" x14ac:dyDescent="0.45">
      <c r="H224" s="1"/>
    </row>
    <row r="225" spans="1:16" x14ac:dyDescent="0.45">
      <c r="B225">
        <v>5460</v>
      </c>
      <c r="C225" t="s">
        <v>185</v>
      </c>
      <c r="H225" s="1"/>
    </row>
    <row r="226" spans="1:16" x14ac:dyDescent="0.45">
      <c r="C226" t="s">
        <v>64</v>
      </c>
      <c r="D226" s="2">
        <v>0.1</v>
      </c>
      <c r="E226" s="5">
        <v>17132</v>
      </c>
      <c r="F226" s="5">
        <v>18404.169999999998</v>
      </c>
      <c r="G226" s="8">
        <f t="shared" si="100"/>
        <v>-1272.1699999999983</v>
      </c>
      <c r="H226" s="1">
        <f t="shared" si="96"/>
        <v>1.0742569460658415</v>
      </c>
      <c r="I226" s="13">
        <v>17994</v>
      </c>
      <c r="J226" s="13">
        <v>20198</v>
      </c>
      <c r="K226" s="9">
        <f>J226-E226</f>
        <v>3066</v>
      </c>
      <c r="L226" s="1">
        <f>IF(E226&lt;&gt;0,K226/E226,"")</f>
        <v>0.17896334345085221</v>
      </c>
      <c r="M226" s="9">
        <f>J226-F226</f>
        <v>1793.8300000000017</v>
      </c>
      <c r="N226" s="1">
        <f>IF(F226&lt;&gt;0,M226/F226,"")</f>
        <v>9.7468671502165108E-2</v>
      </c>
      <c r="O226" s="1">
        <v>0.1</v>
      </c>
      <c r="P226" s="5">
        <f>(1+O226)*F226</f>
        <v>20244.587</v>
      </c>
    </row>
    <row r="227" spans="1:16" x14ac:dyDescent="0.45">
      <c r="C227" t="s">
        <v>186</v>
      </c>
      <c r="E227" s="5">
        <f>E226</f>
        <v>17132</v>
      </c>
      <c r="F227" s="5">
        <f t="shared" ref="F227:J227" si="108">F226</f>
        <v>18404.169999999998</v>
      </c>
      <c r="G227" s="8">
        <f t="shared" si="100"/>
        <v>-1272.1699999999983</v>
      </c>
      <c r="H227" s="1">
        <f t="shared" si="96"/>
        <v>1.0742569460658415</v>
      </c>
      <c r="I227" s="5">
        <f t="shared" si="108"/>
        <v>17994</v>
      </c>
      <c r="J227" s="5">
        <f t="shared" si="108"/>
        <v>20198</v>
      </c>
      <c r="K227" s="9">
        <f>J227-E227</f>
        <v>3066</v>
      </c>
      <c r="L227" s="1">
        <f>IF(E227&lt;&gt;0,K227/E227,"")</f>
        <v>0.17896334345085221</v>
      </c>
      <c r="M227" s="9">
        <f>J227-F227</f>
        <v>1793.8300000000017</v>
      </c>
      <c r="N227" s="1">
        <f>IF(F227&lt;&gt;0,M227/F227,"")</f>
        <v>9.7468671502165108E-2</v>
      </c>
      <c r="P227" s="5">
        <f t="shared" ref="P227" si="109">P226</f>
        <v>20244.587</v>
      </c>
    </row>
    <row r="228" spans="1:16" x14ac:dyDescent="0.45">
      <c r="H228" s="1"/>
    </row>
    <row r="229" spans="1:16" x14ac:dyDescent="0.45">
      <c r="B229">
        <v>6303</v>
      </c>
      <c r="C229" t="s">
        <v>187</v>
      </c>
      <c r="H229" s="1"/>
      <c r="N229" s="1" t="str">
        <f>IF(F229&lt;&gt;0,M229/F229,"")</f>
        <v/>
      </c>
    </row>
    <row r="230" spans="1:16" x14ac:dyDescent="0.45">
      <c r="C230" t="s">
        <v>188</v>
      </c>
      <c r="E230" s="5">
        <v>5040</v>
      </c>
      <c r="G230" s="8">
        <f t="shared" si="100"/>
        <v>5040</v>
      </c>
      <c r="H230" s="1">
        <f t="shared" si="96"/>
        <v>0</v>
      </c>
      <c r="I230" s="5">
        <v>5040</v>
      </c>
      <c r="J230" s="13">
        <v>5040</v>
      </c>
      <c r="K230" s="9">
        <f>J230-E230</f>
        <v>0</v>
      </c>
      <c r="L230" s="1">
        <f>IF(E230&lt;&gt;0,K230/E230,"")</f>
        <v>0</v>
      </c>
      <c r="M230" s="9">
        <f>J230-F230</f>
        <v>5040</v>
      </c>
      <c r="N230" s="1" t="str">
        <f>IF(F230&lt;&gt;0,M230/F230,"")</f>
        <v/>
      </c>
      <c r="P230" s="13">
        <v>5040</v>
      </c>
    </row>
    <row r="231" spans="1:16" x14ac:dyDescent="0.45">
      <c r="C231" t="s">
        <v>189</v>
      </c>
      <c r="E231" s="5">
        <v>4893</v>
      </c>
      <c r="G231" s="8">
        <f t="shared" si="100"/>
        <v>4893</v>
      </c>
      <c r="H231" s="1">
        <f t="shared" si="96"/>
        <v>0</v>
      </c>
      <c r="I231" s="5">
        <v>3900</v>
      </c>
      <c r="J231" s="5">
        <v>3900</v>
      </c>
      <c r="K231" s="9">
        <f>J231-E231</f>
        <v>-993</v>
      </c>
      <c r="L231" s="1">
        <f>IF(E231&lt;&gt;0,K231/E231,"")</f>
        <v>-0.20294297976701411</v>
      </c>
      <c r="M231" s="9">
        <f>J231-F231</f>
        <v>3900</v>
      </c>
      <c r="N231" s="1" t="str">
        <f>IF(F231&lt;&gt;0,M231/F231,"")</f>
        <v/>
      </c>
      <c r="P231" s="5">
        <v>3900</v>
      </c>
    </row>
    <row r="232" spans="1:16" x14ac:dyDescent="0.45">
      <c r="C232" t="s">
        <v>190</v>
      </c>
      <c r="E232" s="5">
        <f>SUM(E230:E231)</f>
        <v>9933</v>
      </c>
      <c r="F232" s="5">
        <v>3249.34</v>
      </c>
      <c r="G232" s="8">
        <f t="shared" si="100"/>
        <v>6683.66</v>
      </c>
      <c r="H232" s="1">
        <f t="shared" si="96"/>
        <v>0.32712574247457971</v>
      </c>
      <c r="I232" s="5">
        <f t="shared" ref="I232:J232" si="110">SUM(I230:I231)</f>
        <v>8940</v>
      </c>
      <c r="J232" s="5">
        <f t="shared" si="110"/>
        <v>8940</v>
      </c>
      <c r="K232" s="9">
        <f>J232-E232</f>
        <v>-993</v>
      </c>
      <c r="L232" s="1">
        <f>IF(E232&lt;&gt;0,K232/E232,"")</f>
        <v>-9.9969797644216249E-2</v>
      </c>
      <c r="M232" s="9">
        <f>J232-F232</f>
        <v>5690.66</v>
      </c>
      <c r="N232" s="1">
        <f>IF(F232&lt;&gt;0,M232/F232,"")</f>
        <v>1.7513279619861264</v>
      </c>
      <c r="P232" s="5">
        <f t="shared" ref="P232" si="111">SUM(P230:P231)</f>
        <v>8940</v>
      </c>
    </row>
    <row r="233" spans="1:16" x14ac:dyDescent="0.45">
      <c r="H233" s="1"/>
    </row>
    <row r="234" spans="1:16" x14ac:dyDescent="0.45">
      <c r="B234">
        <v>6660</v>
      </c>
      <c r="C234" t="s">
        <v>191</v>
      </c>
      <c r="E234" s="5">
        <v>4105</v>
      </c>
      <c r="F234" s="5">
        <v>10157.07</v>
      </c>
      <c r="G234" s="8">
        <f t="shared" si="100"/>
        <v>-6052.07</v>
      </c>
      <c r="H234" s="1">
        <f t="shared" si="96"/>
        <v>2.4743166869671134</v>
      </c>
      <c r="I234" s="13">
        <v>2868</v>
      </c>
      <c r="J234" s="13">
        <v>664</v>
      </c>
      <c r="K234" s="9">
        <f>J234-E234</f>
        <v>-3441</v>
      </c>
      <c r="L234" s="1">
        <f>IF(E234&lt;&gt;0,K234/E234,"")</f>
        <v>-0.83824604141291104</v>
      </c>
      <c r="M234" s="9">
        <f>J234-F234</f>
        <v>-9493.07</v>
      </c>
      <c r="N234" s="1">
        <f>IF(F234&lt;&gt;0,M234/F234,"")</f>
        <v>-0.9346268165917927</v>
      </c>
      <c r="P234" s="13">
        <v>664</v>
      </c>
    </row>
    <row r="235" spans="1:16" x14ac:dyDescent="0.45">
      <c r="H235" s="1"/>
    </row>
    <row r="236" spans="1:16" x14ac:dyDescent="0.45">
      <c r="C236" t="s">
        <v>192</v>
      </c>
      <c r="E236" s="5">
        <f>E219+E223+E227+E232+E234</f>
        <v>40320</v>
      </c>
      <c r="F236" s="5">
        <f t="shared" ref="F236" si="112">F219+F223+F227+F232+F234</f>
        <v>40433.199999999997</v>
      </c>
      <c r="G236" s="8">
        <f t="shared" si="100"/>
        <v>-113.19999999999709</v>
      </c>
      <c r="H236" s="1">
        <f t="shared" si="96"/>
        <v>1.0028075396825396</v>
      </c>
      <c r="I236" s="5">
        <f t="shared" ref="I236" si="113">I219+I223+I227+I232+I234</f>
        <v>40441</v>
      </c>
      <c r="J236" s="5">
        <f>J219+J223+J227+J232+J234</f>
        <v>40441</v>
      </c>
      <c r="K236" s="9">
        <f>J236-E236</f>
        <v>121</v>
      </c>
      <c r="L236" s="1">
        <f>IF(E236&lt;&gt;0,K236/E236,"")</f>
        <v>3.0009920634920637E-3</v>
      </c>
      <c r="M236" s="9">
        <f>J236-F236</f>
        <v>7.8000000000029104</v>
      </c>
      <c r="N236" s="1">
        <f>IF(F236&lt;&gt;0,M236/F236,"")</f>
        <v>1.9291077629282152E-4</v>
      </c>
      <c r="P236" s="5">
        <f>P219+P223+P227+P232+P234</f>
        <v>40487.587</v>
      </c>
    </row>
    <row r="237" spans="1:16" x14ac:dyDescent="0.45">
      <c r="H237" s="1"/>
    </row>
    <row r="238" spans="1:16" x14ac:dyDescent="0.45">
      <c r="A238" t="s">
        <v>142</v>
      </c>
      <c r="B238">
        <v>6330</v>
      </c>
      <c r="C238" t="s">
        <v>231</v>
      </c>
      <c r="F238" s="5">
        <v>1152.43</v>
      </c>
      <c r="H238" s="1"/>
      <c r="J238" s="5">
        <v>3297</v>
      </c>
      <c r="P238" s="5">
        <v>3297</v>
      </c>
    </row>
    <row r="239" spans="1:16" x14ac:dyDescent="0.45">
      <c r="H239" s="1"/>
    </row>
    <row r="240" spans="1:16" x14ac:dyDescent="0.45">
      <c r="C240" t="s">
        <v>232</v>
      </c>
      <c r="F240" s="5">
        <v>4891.01</v>
      </c>
      <c r="H240" s="1" t="str">
        <f t="shared" si="96"/>
        <v/>
      </c>
    </row>
    <row r="241" spans="1:16" x14ac:dyDescent="0.45">
      <c r="H241" s="1"/>
    </row>
    <row r="242" spans="1:16" x14ac:dyDescent="0.45">
      <c r="C242" t="s">
        <v>311</v>
      </c>
      <c r="E242" s="5">
        <v>93000</v>
      </c>
      <c r="F242" s="12"/>
      <c r="G242" s="8">
        <f t="shared" si="100"/>
        <v>93000</v>
      </c>
      <c r="H242" s="1">
        <f t="shared" si="96"/>
        <v>0</v>
      </c>
    </row>
    <row r="243" spans="1:16" x14ac:dyDescent="0.45">
      <c r="H243" s="1"/>
    </row>
    <row r="244" spans="1:16" x14ac:dyDescent="0.45">
      <c r="C244" t="s">
        <v>194</v>
      </c>
      <c r="E244" s="5">
        <v>16968.36</v>
      </c>
      <c r="F244" s="12"/>
      <c r="G244" s="8">
        <f t="shared" si="100"/>
        <v>16968.36</v>
      </c>
      <c r="H244" s="1">
        <f t="shared" si="96"/>
        <v>0</v>
      </c>
      <c r="I244" s="12"/>
      <c r="J244" s="12"/>
      <c r="P244" s="5">
        <v>0</v>
      </c>
    </row>
    <row r="245" spans="1:16" x14ac:dyDescent="0.45">
      <c r="H245" s="1"/>
    </row>
    <row r="246" spans="1:16" x14ac:dyDescent="0.45">
      <c r="C246" t="s">
        <v>236</v>
      </c>
      <c r="G246" s="5"/>
      <c r="H246" s="1"/>
      <c r="J246" s="12"/>
      <c r="K246" s="5"/>
      <c r="L246" s="5"/>
      <c r="M246" s="5"/>
      <c r="N246" s="5"/>
      <c r="O246" s="5"/>
      <c r="P246" s="5">
        <f>-1*F333</f>
        <v>96452.810000000056</v>
      </c>
    </row>
    <row r="247" spans="1:16" x14ac:dyDescent="0.45">
      <c r="H247" s="1"/>
    </row>
    <row r="248" spans="1:16" x14ac:dyDescent="0.45">
      <c r="A248" t="s">
        <v>254</v>
      </c>
      <c r="C248" t="s">
        <v>255</v>
      </c>
      <c r="E248" s="13">
        <f>E21+E28+E35+E42+E77+E96+E136+E189+E200+E207+E236+E242+E244+E238+E240+E246</f>
        <v>1103952.3600000001</v>
      </c>
      <c r="F248" s="13">
        <f>F21+F28+F35+F42+F77+F96+F136+F189+F200+F207+F236+F242+F244+F238+F240+F246</f>
        <v>1091488.4099999999</v>
      </c>
      <c r="G248" s="8">
        <f t="shared" si="100"/>
        <v>12463.950000000186</v>
      </c>
      <c r="H248" s="1">
        <f>IF(E248&lt;&gt;0,F248/E248,"")</f>
        <v>0.98870970301653216</v>
      </c>
      <c r="I248" s="13">
        <f>I21+I28+I35+I42+I77+I96+I136+I189+I200+I207+I236+I242+I244+I238+I240+I246</f>
        <v>1311105</v>
      </c>
      <c r="J248" s="13">
        <f>J21+J28+J35+J42+J77+J96+J136+J189+J200+J207+J236+J242+J244+J238+J240+J246</f>
        <v>1309353</v>
      </c>
      <c r="K248" s="9">
        <f>J248-E248</f>
        <v>205400.6399999999</v>
      </c>
      <c r="L248" s="1">
        <f>IF(E248&lt;&gt;0,K248/E248,"")</f>
        <v>0.1860593332125309</v>
      </c>
      <c r="M248" s="9">
        <f>J248-F248</f>
        <v>217864.59000000008</v>
      </c>
      <c r="N248" s="1">
        <f>IF(F248&lt;&gt;0,M248/F248,"")</f>
        <v>0.19960320971250634</v>
      </c>
      <c r="P248" s="13">
        <f>P21+P28+P35+P42+P77+P96+P136+P189+P200+P207+P236+P242+P244+P238+P240+P246</f>
        <v>1219385.9140000001</v>
      </c>
    </row>
    <row r="249" spans="1:16" x14ac:dyDescent="0.45">
      <c r="C249" t="s">
        <v>249</v>
      </c>
      <c r="E249" s="13">
        <v>1103951.3600000001</v>
      </c>
      <c r="F249" s="13">
        <v>1091488.81</v>
      </c>
      <c r="H249" s="1"/>
      <c r="J249" s="5">
        <v>1309352</v>
      </c>
    </row>
    <row r="250" spans="1:16" x14ac:dyDescent="0.45">
      <c r="C250" t="s">
        <v>248</v>
      </c>
      <c r="E250" s="13">
        <f>E248-E249</f>
        <v>1</v>
      </c>
      <c r="F250" s="13">
        <f>F248-F249</f>
        <v>-0.40000000013969839</v>
      </c>
      <c r="H250" s="1"/>
      <c r="J250" s="13">
        <f>J248-J249</f>
        <v>1</v>
      </c>
    </row>
    <row r="251" spans="1:16" x14ac:dyDescent="0.45">
      <c r="H251" s="1"/>
    </row>
    <row r="252" spans="1:16" x14ac:dyDescent="0.45">
      <c r="A252" t="s">
        <v>228</v>
      </c>
      <c r="E252"/>
      <c r="F252"/>
      <c r="G252"/>
      <c r="H252" s="1"/>
      <c r="I252"/>
      <c r="J252"/>
      <c r="K252" s="10"/>
      <c r="M252" s="10"/>
      <c r="P252"/>
    </row>
    <row r="253" spans="1:16" x14ac:dyDescent="0.45">
      <c r="E253"/>
      <c r="F253"/>
      <c r="G253"/>
      <c r="H253" s="1"/>
      <c r="I253"/>
      <c r="J253"/>
      <c r="K253" s="10"/>
      <c r="M253" s="10"/>
      <c r="P253"/>
    </row>
    <row r="254" spans="1:16" x14ac:dyDescent="0.45">
      <c r="C254" t="s">
        <v>254</v>
      </c>
      <c r="E254" s="14">
        <f>E248</f>
        <v>1103952.3600000001</v>
      </c>
      <c r="F254" s="14">
        <f>F248</f>
        <v>1091488.4099999999</v>
      </c>
      <c r="G254" s="8">
        <f>E254-F254</f>
        <v>12463.950000000186</v>
      </c>
      <c r="H254" s="1">
        <f t="shared" si="96"/>
        <v>0.98870970301653216</v>
      </c>
      <c r="I254" s="13">
        <f>I27+I34+I41+I48+I83+I102+I142+I195+I206+I213+I242+I248+I250+I244+I246+I252</f>
        <v>1349910</v>
      </c>
      <c r="J254" s="14">
        <f>J248</f>
        <v>1309353</v>
      </c>
      <c r="K254" s="10"/>
      <c r="M254" s="10"/>
      <c r="P254" s="6">
        <f>P248</f>
        <v>1219385.9140000001</v>
      </c>
    </row>
    <row r="255" spans="1:16" x14ac:dyDescent="0.45">
      <c r="E255"/>
      <c r="F255"/>
      <c r="H255" s="1"/>
      <c r="I255"/>
      <c r="J255"/>
      <c r="K255" s="10"/>
      <c r="M255" s="10"/>
      <c r="P255"/>
    </row>
    <row r="256" spans="1:16" x14ac:dyDescent="0.45">
      <c r="C256" t="s">
        <v>257</v>
      </c>
      <c r="E256"/>
      <c r="F256"/>
      <c r="H256" s="1"/>
      <c r="I256"/>
      <c r="J256"/>
      <c r="K256" s="10"/>
      <c r="M256" s="10"/>
      <c r="P256"/>
    </row>
    <row r="257" spans="1:16" x14ac:dyDescent="0.45">
      <c r="C257" t="s">
        <v>229</v>
      </c>
      <c r="E257" s="6">
        <v>0</v>
      </c>
      <c r="F257" s="6">
        <v>0</v>
      </c>
      <c r="G257" s="8">
        <f t="shared" ref="G257:G264" si="114">E257-F257</f>
        <v>0</v>
      </c>
      <c r="H257" s="1" t="str">
        <f t="shared" si="96"/>
        <v/>
      </c>
      <c r="I257" s="6">
        <v>0</v>
      </c>
      <c r="J257" s="6">
        <v>0</v>
      </c>
      <c r="K257" s="10"/>
      <c r="M257" s="10"/>
      <c r="P257" s="6">
        <v>0</v>
      </c>
    </row>
    <row r="258" spans="1:16" x14ac:dyDescent="0.45">
      <c r="C258" t="s">
        <v>258</v>
      </c>
      <c r="E258" s="6">
        <f>SUM(E257:E257)</f>
        <v>0</v>
      </c>
      <c r="F258" s="6">
        <f>SUM(F257:F257)</f>
        <v>0</v>
      </c>
      <c r="G258" s="8">
        <f t="shared" si="114"/>
        <v>0</v>
      </c>
      <c r="H258" s="1" t="str">
        <f t="shared" si="96"/>
        <v/>
      </c>
      <c r="I258" s="6">
        <f>SUM(I257:I257)</f>
        <v>0</v>
      </c>
      <c r="J258" s="6">
        <f>SUM(J257:J257)</f>
        <v>0</v>
      </c>
      <c r="K258" s="10"/>
      <c r="M258" s="10"/>
      <c r="P258" s="6">
        <f>SUM(P257:P257)</f>
        <v>0</v>
      </c>
    </row>
    <row r="259" spans="1:16" x14ac:dyDescent="0.45">
      <c r="E259" s="6"/>
      <c r="F259" s="6"/>
      <c r="H259" s="1"/>
      <c r="I259" s="6"/>
      <c r="J259" s="6"/>
      <c r="K259" s="10"/>
      <c r="M259" s="10"/>
      <c r="P259" s="6"/>
    </row>
    <row r="260" spans="1:16" x14ac:dyDescent="0.45">
      <c r="C260" t="s">
        <v>259</v>
      </c>
      <c r="E260" s="5">
        <f>E254-E258</f>
        <v>1103952.3600000001</v>
      </c>
      <c r="F260" s="5">
        <f>F254-F258</f>
        <v>1091488.4099999999</v>
      </c>
      <c r="G260" s="8">
        <f t="shared" si="114"/>
        <v>12463.950000000186</v>
      </c>
      <c r="H260" s="1">
        <f t="shared" si="96"/>
        <v>0.98870970301653216</v>
      </c>
      <c r="I260" s="5">
        <f>I254-I258</f>
        <v>1349910</v>
      </c>
      <c r="J260" s="5">
        <f>J254-J258</f>
        <v>1309353</v>
      </c>
      <c r="K260" s="10"/>
      <c r="M260" s="10"/>
      <c r="P260" s="5">
        <f>P254-P258</f>
        <v>1219385.9140000001</v>
      </c>
    </row>
    <row r="261" spans="1:16" x14ac:dyDescent="0.45">
      <c r="E261"/>
      <c r="F261"/>
      <c r="H261" s="1"/>
      <c r="I261"/>
      <c r="J261"/>
      <c r="K261" s="10"/>
      <c r="M261" s="10"/>
      <c r="P261"/>
    </row>
    <row r="262" spans="1:16" x14ac:dyDescent="0.45">
      <c r="C262" t="s">
        <v>230</v>
      </c>
      <c r="E262" s="2">
        <v>7.0000000000000007E-2</v>
      </c>
      <c r="F262" s="2">
        <v>7.0000000000000007E-2</v>
      </c>
      <c r="H262" s="1">
        <f t="shared" si="96"/>
        <v>1</v>
      </c>
      <c r="I262" s="2">
        <v>7.0000000000000007E-2</v>
      </c>
      <c r="J262" s="2">
        <v>7.0000000000000007E-2</v>
      </c>
      <c r="K262" s="10"/>
      <c r="M262" s="10"/>
      <c r="P262" s="2">
        <v>7.0000000000000007E-2</v>
      </c>
    </row>
    <row r="263" spans="1:16" x14ac:dyDescent="0.45">
      <c r="E263"/>
      <c r="F263"/>
      <c r="H263" s="1"/>
      <c r="I263"/>
      <c r="J263"/>
      <c r="K263" s="10"/>
      <c r="M263" s="10"/>
      <c r="P263"/>
    </row>
    <row r="264" spans="1:16" x14ac:dyDescent="0.45">
      <c r="C264" t="s">
        <v>330</v>
      </c>
      <c r="E264" s="17">
        <f>E260*E262</f>
        <v>77276.665200000018</v>
      </c>
      <c r="F264" s="15">
        <f t="shared" ref="F264:I264" si="115">F260*F262</f>
        <v>76404.188699999999</v>
      </c>
      <c r="G264" s="8">
        <f t="shared" si="114"/>
        <v>872.47650000001886</v>
      </c>
      <c r="H264" s="1">
        <f t="shared" si="96"/>
        <v>0.98870970301653205</v>
      </c>
      <c r="I264">
        <f t="shared" si="115"/>
        <v>94493.700000000012</v>
      </c>
      <c r="J264" s="15">
        <f>J260*J262</f>
        <v>91654.71</v>
      </c>
      <c r="K264" s="10"/>
      <c r="M264" s="10"/>
      <c r="P264" s="15">
        <f>P260*P262</f>
        <v>85357.013980000018</v>
      </c>
    </row>
    <row r="265" spans="1:16" x14ac:dyDescent="0.45">
      <c r="C265" t="s">
        <v>331</v>
      </c>
      <c r="E265">
        <v>74549</v>
      </c>
      <c r="F265"/>
      <c r="G265"/>
      <c r="H265" s="1"/>
      <c r="I265">
        <v>95831</v>
      </c>
      <c r="J265">
        <v>96442</v>
      </c>
      <c r="K265" s="10"/>
      <c r="M265" s="10"/>
      <c r="P265"/>
    </row>
    <row r="266" spans="1:16" x14ac:dyDescent="0.45">
      <c r="C266" t="s">
        <v>248</v>
      </c>
      <c r="E266" s="13">
        <f>E264-E265</f>
        <v>2727.6652000000176</v>
      </c>
      <c r="F266"/>
      <c r="G266"/>
      <c r="H266" s="1"/>
      <c r="I266" s="13">
        <f>I264-I265</f>
        <v>-1337.2999999999884</v>
      </c>
      <c r="J266" s="13">
        <f>J264-J265</f>
        <v>-4787.2899999999936</v>
      </c>
      <c r="K266" s="10"/>
      <c r="M266" s="10"/>
      <c r="P266"/>
    </row>
    <row r="267" spans="1:16" x14ac:dyDescent="0.45">
      <c r="E267"/>
      <c r="F267"/>
      <c r="G267"/>
      <c r="H267" s="1"/>
      <c r="J267"/>
      <c r="K267" s="10"/>
      <c r="M267" s="10"/>
      <c r="P267"/>
    </row>
    <row r="268" spans="1:16" x14ac:dyDescent="0.45">
      <c r="A268" t="s">
        <v>166</v>
      </c>
      <c r="B268">
        <v>9105</v>
      </c>
      <c r="C268" t="s">
        <v>167</v>
      </c>
      <c r="H268" s="1"/>
      <c r="I268" s="5">
        <v>0</v>
      </c>
      <c r="J268" s="5">
        <v>0</v>
      </c>
      <c r="P268" s="5">
        <v>0</v>
      </c>
    </row>
    <row r="269" spans="1:16" x14ac:dyDescent="0.45">
      <c r="B269">
        <v>9834</v>
      </c>
      <c r="C269" t="s">
        <v>168</v>
      </c>
      <c r="D269" s="4">
        <v>7.0000000000000007E-2</v>
      </c>
      <c r="E269" s="5">
        <v>74549</v>
      </c>
      <c r="F269" s="5">
        <v>74549.05</v>
      </c>
      <c r="G269" s="8">
        <f t="shared" ref="G269:G271" si="116">E269-F269</f>
        <v>-5.0000000002910383E-2</v>
      </c>
      <c r="H269" s="1">
        <f t="shared" ref="H269:H348" si="117">IF(E269&lt;&gt;0,F269/E269,"")</f>
        <v>1.0000006706998081</v>
      </c>
      <c r="I269" s="5">
        <v>95831</v>
      </c>
      <c r="J269" s="13">
        <v>96442</v>
      </c>
      <c r="K269" s="9">
        <f>J269-E269</f>
        <v>21893</v>
      </c>
      <c r="L269" s="1">
        <f>IF(E269&lt;&gt;0,K269/E269,"")</f>
        <v>0.29367261800963124</v>
      </c>
      <c r="M269" s="9">
        <f>J269-F269</f>
        <v>21892.949999999997</v>
      </c>
      <c r="N269" s="1">
        <f>IF(F269&lt;&gt;0,M269/F269,"")</f>
        <v>0.29367175034423637</v>
      </c>
      <c r="P269" s="13">
        <f>P264</f>
        <v>85357.013980000018</v>
      </c>
    </row>
    <row r="270" spans="1:16" x14ac:dyDescent="0.45">
      <c r="D270" s="4"/>
      <c r="H270" s="1"/>
    </row>
    <row r="271" spans="1:16" x14ac:dyDescent="0.45">
      <c r="C271" t="s">
        <v>169</v>
      </c>
      <c r="E271" s="5">
        <f>E269</f>
        <v>74549</v>
      </c>
      <c r="F271" s="5">
        <f>F269</f>
        <v>74549.05</v>
      </c>
      <c r="G271" s="8">
        <f t="shared" si="116"/>
        <v>-5.0000000002910383E-2</v>
      </c>
      <c r="H271" s="1">
        <f t="shared" si="117"/>
        <v>1.0000006706998081</v>
      </c>
      <c r="I271" s="5">
        <f>I269</f>
        <v>95831</v>
      </c>
      <c r="J271" s="5">
        <f>J269</f>
        <v>96442</v>
      </c>
      <c r="K271" s="9">
        <f>J271-E271</f>
        <v>21893</v>
      </c>
      <c r="L271" s="1">
        <f>IF(E271&lt;&gt;0,K271/E271,"")</f>
        <v>0.29367261800963124</v>
      </c>
      <c r="M271" s="9">
        <f>J271-F269</f>
        <v>21892.949999999997</v>
      </c>
      <c r="N271" s="1">
        <f>IF(F269&lt;&gt;0,M271/F269,"")</f>
        <v>0.29367175034423637</v>
      </c>
      <c r="P271" s="5">
        <f t="shared" ref="P271" si="118">P269</f>
        <v>85357.013980000018</v>
      </c>
    </row>
    <row r="272" spans="1:16" x14ac:dyDescent="0.45">
      <c r="H272" s="1"/>
    </row>
    <row r="273" spans="1:16" x14ac:dyDescent="0.45">
      <c r="A273" t="s">
        <v>256</v>
      </c>
      <c r="C273" t="s">
        <v>246</v>
      </c>
      <c r="E273" s="13">
        <f>E248+E271</f>
        <v>1178501.3600000001</v>
      </c>
      <c r="F273" s="13">
        <f>F248+F271</f>
        <v>1166037.46</v>
      </c>
      <c r="G273" s="8">
        <f t="shared" ref="G273" si="119">E273-F273</f>
        <v>12463.90000000014</v>
      </c>
      <c r="H273" s="1">
        <f t="shared" si="117"/>
        <v>0.98942394092782371</v>
      </c>
      <c r="I273" s="13">
        <f>I248+I271</f>
        <v>1406936</v>
      </c>
      <c r="J273" s="13">
        <f>J248+J271</f>
        <v>1405795</v>
      </c>
      <c r="K273" s="9">
        <f>J273-E273</f>
        <v>227293.6399999999</v>
      </c>
      <c r="L273" s="1">
        <f>IF(E273&lt;&gt;0,K273/E273,"")</f>
        <v>0.19286667602997071</v>
      </c>
      <c r="M273" s="9">
        <f>J273-F273</f>
        <v>239757.54000000004</v>
      </c>
      <c r="N273" s="1">
        <f>IF(F273&lt;&gt;0,M273/F273,"")</f>
        <v>0.20561735640980183</v>
      </c>
      <c r="P273" s="13">
        <f>P248+P271</f>
        <v>1304742.9279800002</v>
      </c>
    </row>
    <row r="274" spans="1:16" x14ac:dyDescent="0.45">
      <c r="C274" t="s">
        <v>247</v>
      </c>
      <c r="E274" s="13">
        <v>1178500.3600000001</v>
      </c>
      <c r="F274" s="13">
        <v>1166037.8600000001</v>
      </c>
      <c r="H274" s="1"/>
      <c r="J274" s="5">
        <v>1405794</v>
      </c>
    </row>
    <row r="275" spans="1:16" x14ac:dyDescent="0.45">
      <c r="C275" t="s">
        <v>248</v>
      </c>
      <c r="E275" s="13">
        <f>E273-E274</f>
        <v>1</v>
      </c>
      <c r="F275" s="13">
        <f>F273-F274</f>
        <v>-0.40000000013969839</v>
      </c>
      <c r="H275" s="1"/>
      <c r="J275" s="13">
        <f>J273-J274</f>
        <v>1</v>
      </c>
    </row>
    <row r="276" spans="1:16" x14ac:dyDescent="0.45">
      <c r="E276" s="13"/>
      <c r="F276" s="13"/>
      <c r="H276" s="1" t="str">
        <f t="shared" si="117"/>
        <v/>
      </c>
      <c r="J276" s="13"/>
    </row>
    <row r="277" spans="1:16" x14ac:dyDescent="0.45">
      <c r="A277" t="s">
        <v>419</v>
      </c>
      <c r="E277" s="13"/>
      <c r="F277" s="13"/>
      <c r="H277" s="1"/>
      <c r="J277" s="13"/>
    </row>
    <row r="278" spans="1:16" x14ac:dyDescent="0.45">
      <c r="E278" s="13"/>
      <c r="F278" s="13"/>
      <c r="H278" s="1"/>
      <c r="J278" s="13"/>
    </row>
    <row r="279" spans="1:16" x14ac:dyDescent="0.45">
      <c r="A279" t="s">
        <v>250</v>
      </c>
      <c r="H279" s="1" t="str">
        <f t="shared" si="117"/>
        <v/>
      </c>
    </row>
    <row r="280" spans="1:16" x14ac:dyDescent="0.45">
      <c r="A280" t="s">
        <v>251</v>
      </c>
      <c r="B280">
        <v>4007</v>
      </c>
      <c r="C280" t="s">
        <v>10</v>
      </c>
      <c r="E280" s="5">
        <v>12600</v>
      </c>
      <c r="F280" s="5">
        <v>8780.15</v>
      </c>
      <c r="G280" s="8">
        <f t="shared" ref="G280:G294" si="120">F280-E280</f>
        <v>-3819.8500000000004</v>
      </c>
      <c r="H280" s="1">
        <f>IF(E280&lt;&gt;0,F280/E280,"")</f>
        <v>0.69683730158730151</v>
      </c>
      <c r="I280" s="5">
        <v>16800</v>
      </c>
      <c r="J280" s="5">
        <v>16800</v>
      </c>
      <c r="K280" s="9">
        <f t="shared" ref="K280:K288" si="121">J280-E280</f>
        <v>4200</v>
      </c>
      <c r="L280" s="1">
        <f t="shared" ref="L280:L288" si="122">IF(E280&lt;&gt;0,K280/E280,"")</f>
        <v>0.33333333333333331</v>
      </c>
      <c r="M280" s="9">
        <f t="shared" ref="M280:M288" si="123">J280-F280</f>
        <v>8019.85</v>
      </c>
      <c r="N280" s="1">
        <f t="shared" ref="N280:N288" si="124">IF(F280&lt;&gt;0,M280/F280,"")</f>
        <v>0.91340694635057496</v>
      </c>
      <c r="O280"/>
      <c r="P280" s="5">
        <v>16800</v>
      </c>
    </row>
    <row r="281" spans="1:16" x14ac:dyDescent="0.45">
      <c r="B281">
        <v>4275</v>
      </c>
      <c r="C281" t="s">
        <v>11</v>
      </c>
      <c r="E281" s="5">
        <v>0</v>
      </c>
      <c r="G281" s="8">
        <f t="shared" si="120"/>
        <v>0</v>
      </c>
      <c r="H281" s="1" t="str">
        <f t="shared" si="117"/>
        <v/>
      </c>
      <c r="J281" s="5">
        <v>0</v>
      </c>
      <c r="K281" s="9">
        <f t="shared" si="121"/>
        <v>0</v>
      </c>
      <c r="L281" s="1" t="str">
        <f t="shared" si="122"/>
        <v/>
      </c>
      <c r="M281" s="9">
        <f t="shared" si="123"/>
        <v>0</v>
      </c>
      <c r="N281" s="1" t="str">
        <f t="shared" si="124"/>
        <v/>
      </c>
      <c r="O281"/>
      <c r="P281" s="5">
        <v>0</v>
      </c>
    </row>
    <row r="282" spans="1:16" x14ac:dyDescent="0.45">
      <c r="B282">
        <v>4710</v>
      </c>
      <c r="C282" t="s">
        <v>12</v>
      </c>
      <c r="E282" s="5">
        <v>0</v>
      </c>
      <c r="F282" s="5">
        <v>400</v>
      </c>
      <c r="G282" s="8">
        <f t="shared" si="120"/>
        <v>400</v>
      </c>
      <c r="H282" s="1" t="str">
        <f t="shared" si="117"/>
        <v/>
      </c>
      <c r="I282" s="5">
        <v>0</v>
      </c>
      <c r="J282" s="5">
        <v>0</v>
      </c>
      <c r="K282" s="9">
        <f t="shared" si="121"/>
        <v>0</v>
      </c>
      <c r="L282" s="1" t="str">
        <f t="shared" si="122"/>
        <v/>
      </c>
      <c r="M282" s="9">
        <f t="shared" si="123"/>
        <v>-400</v>
      </c>
      <c r="N282" s="1">
        <f t="shared" si="124"/>
        <v>-1</v>
      </c>
      <c r="O282"/>
      <c r="P282" s="5">
        <v>0</v>
      </c>
    </row>
    <row r="283" spans="1:16" x14ac:dyDescent="0.45">
      <c r="B283">
        <v>4225</v>
      </c>
      <c r="C283" t="s">
        <v>13</v>
      </c>
      <c r="E283" s="5">
        <v>0</v>
      </c>
      <c r="F283" s="5">
        <v>1500</v>
      </c>
      <c r="G283" s="8">
        <f t="shared" si="120"/>
        <v>1500</v>
      </c>
      <c r="H283" s="1" t="str">
        <f t="shared" si="117"/>
        <v/>
      </c>
      <c r="I283" s="5">
        <v>0</v>
      </c>
      <c r="J283" s="5">
        <v>0</v>
      </c>
      <c r="K283" s="9">
        <f t="shared" si="121"/>
        <v>0</v>
      </c>
      <c r="L283" s="1" t="str">
        <f t="shared" si="122"/>
        <v/>
      </c>
      <c r="M283" s="9">
        <f t="shared" si="123"/>
        <v>-1500</v>
      </c>
      <c r="N283" s="1">
        <f t="shared" si="124"/>
        <v>-1</v>
      </c>
      <c r="O283"/>
      <c r="P283" s="5">
        <v>0</v>
      </c>
    </row>
    <row r="284" spans="1:16" x14ac:dyDescent="0.45">
      <c r="B284">
        <v>4836</v>
      </c>
      <c r="C284" t="s">
        <v>14</v>
      </c>
      <c r="F284" s="5">
        <v>5924.4</v>
      </c>
      <c r="G284" s="8">
        <f t="shared" si="120"/>
        <v>5924.4</v>
      </c>
      <c r="H284" s="1" t="str">
        <f t="shared" si="117"/>
        <v/>
      </c>
      <c r="J284" s="5">
        <v>0</v>
      </c>
      <c r="K284" s="9">
        <f t="shared" si="121"/>
        <v>0</v>
      </c>
      <c r="L284" s="1" t="str">
        <f t="shared" si="122"/>
        <v/>
      </c>
      <c r="M284" s="9">
        <f t="shared" si="123"/>
        <v>-5924.4</v>
      </c>
      <c r="N284" s="1">
        <f t="shared" si="124"/>
        <v>-1</v>
      </c>
      <c r="O284"/>
      <c r="P284" s="5">
        <v>0</v>
      </c>
    </row>
    <row r="285" spans="1:16" x14ac:dyDescent="0.45">
      <c r="B285">
        <v>4900</v>
      </c>
      <c r="C285" t="s">
        <v>15</v>
      </c>
      <c r="E285" s="5">
        <v>300</v>
      </c>
      <c r="F285" s="5">
        <v>273.54000000000002</v>
      </c>
      <c r="G285" s="8">
        <f t="shared" si="120"/>
        <v>-26.45999999999998</v>
      </c>
      <c r="H285" s="1">
        <f t="shared" si="117"/>
        <v>0.91180000000000005</v>
      </c>
      <c r="I285" s="13">
        <v>300</v>
      </c>
      <c r="J285" s="13">
        <v>0</v>
      </c>
      <c r="K285" s="9">
        <f t="shared" si="121"/>
        <v>-300</v>
      </c>
      <c r="L285" s="1">
        <f t="shared" si="122"/>
        <v>-1</v>
      </c>
      <c r="M285" s="9">
        <f t="shared" si="123"/>
        <v>-273.54000000000002</v>
      </c>
      <c r="N285" s="1">
        <f t="shared" si="124"/>
        <v>-1</v>
      </c>
      <c r="O285"/>
      <c r="P285" s="13">
        <v>300</v>
      </c>
    </row>
    <row r="286" spans="1:16" x14ac:dyDescent="0.45">
      <c r="C286" t="s">
        <v>51</v>
      </c>
      <c r="E286" s="5">
        <v>109968.36</v>
      </c>
      <c r="F286" s="12"/>
      <c r="G286" s="8">
        <f t="shared" si="120"/>
        <v>-109968.36</v>
      </c>
      <c r="H286" s="1">
        <f t="shared" si="117"/>
        <v>0</v>
      </c>
      <c r="I286" s="12"/>
      <c r="J286" s="12"/>
      <c r="K286" s="9">
        <f t="shared" si="121"/>
        <v>-109968.36</v>
      </c>
      <c r="L286" s="1">
        <f t="shared" si="122"/>
        <v>-1</v>
      </c>
      <c r="M286" s="9">
        <f t="shared" si="123"/>
        <v>0</v>
      </c>
      <c r="N286" s="1" t="str">
        <f t="shared" si="124"/>
        <v/>
      </c>
      <c r="O286"/>
      <c r="P286" s="13"/>
    </row>
    <row r="287" spans="1:16" x14ac:dyDescent="0.45">
      <c r="C287" t="s">
        <v>16</v>
      </c>
      <c r="E287" s="5">
        <v>0</v>
      </c>
      <c r="G287" s="8">
        <f t="shared" si="120"/>
        <v>0</v>
      </c>
      <c r="H287" s="1" t="str">
        <f t="shared" si="117"/>
        <v/>
      </c>
      <c r="I287" s="5">
        <v>0</v>
      </c>
      <c r="J287" s="5">
        <v>0</v>
      </c>
      <c r="K287" s="9">
        <f t="shared" si="121"/>
        <v>0</v>
      </c>
      <c r="L287" s="1" t="str">
        <f t="shared" si="122"/>
        <v/>
      </c>
      <c r="M287" s="9">
        <f t="shared" si="123"/>
        <v>0</v>
      </c>
      <c r="N287" s="1" t="str">
        <f t="shared" si="124"/>
        <v/>
      </c>
      <c r="O287"/>
      <c r="P287" s="5">
        <v>0</v>
      </c>
    </row>
    <row r="288" spans="1:16" x14ac:dyDescent="0.45">
      <c r="C288" t="s">
        <v>329</v>
      </c>
      <c r="E288" s="5">
        <f>SUM(E280:E287)</f>
        <v>122868.36</v>
      </c>
      <c r="F288" s="5">
        <f>SUM(F279:F287)</f>
        <v>16878.09</v>
      </c>
      <c r="G288" s="8">
        <f t="shared" si="120"/>
        <v>-105990.27</v>
      </c>
      <c r="H288" s="1">
        <f t="shared" si="117"/>
        <v>0.13736726037525038</v>
      </c>
      <c r="I288" s="5">
        <f t="shared" ref="I288:J288" si="125">SUM(I279:I287)</f>
        <v>17100</v>
      </c>
      <c r="J288" s="5">
        <f t="shared" si="125"/>
        <v>16800</v>
      </c>
      <c r="K288" s="9">
        <f t="shared" si="121"/>
        <v>-106068.36</v>
      </c>
      <c r="L288" s="1">
        <f t="shared" si="122"/>
        <v>-0.863268297875873</v>
      </c>
      <c r="M288" s="9">
        <f t="shared" si="123"/>
        <v>-78.090000000000146</v>
      </c>
      <c r="N288" s="1">
        <f t="shared" si="124"/>
        <v>-4.6267083538481038E-3</v>
      </c>
      <c r="O288"/>
      <c r="P288" s="5">
        <f t="shared" ref="P288" si="126">SUM(P279:P287)</f>
        <v>17100</v>
      </c>
    </row>
    <row r="289" spans="1:16" x14ac:dyDescent="0.45">
      <c r="H289" s="1"/>
      <c r="O289"/>
    </row>
    <row r="290" spans="1:16" x14ac:dyDescent="0.45">
      <c r="A290" t="s">
        <v>237</v>
      </c>
      <c r="B290">
        <v>4035</v>
      </c>
      <c r="C290" t="s">
        <v>34</v>
      </c>
      <c r="E290" s="5">
        <v>40320</v>
      </c>
      <c r="F290" s="5">
        <v>40320</v>
      </c>
      <c r="G290" s="8">
        <f t="shared" si="120"/>
        <v>0</v>
      </c>
      <c r="H290" s="1">
        <f t="shared" si="117"/>
        <v>1</v>
      </c>
      <c r="I290" s="5">
        <v>40320</v>
      </c>
      <c r="J290" s="5">
        <v>40320</v>
      </c>
      <c r="K290" s="9">
        <f>J290-E290</f>
        <v>0</v>
      </c>
      <c r="L290" s="1">
        <f>IF(E290&lt;&gt;0,K290/E290,"")</f>
        <v>0</v>
      </c>
      <c r="M290" s="9">
        <f>J290-F290</f>
        <v>0</v>
      </c>
      <c r="N290" s="1">
        <f>IF(F290&lt;&gt;0,M290/F290,"")</f>
        <v>0</v>
      </c>
      <c r="O290"/>
      <c r="P290" s="5">
        <v>40320</v>
      </c>
    </row>
    <row r="291" spans="1:16" x14ac:dyDescent="0.45">
      <c r="B291">
        <v>4925</v>
      </c>
      <c r="C291" t="s">
        <v>35</v>
      </c>
      <c r="E291" s="5">
        <v>120</v>
      </c>
      <c r="F291" s="5">
        <v>113.2</v>
      </c>
      <c r="G291" s="8">
        <f t="shared" si="120"/>
        <v>-6.7999999999999972</v>
      </c>
      <c r="H291" s="1">
        <f t="shared" si="117"/>
        <v>0.94333333333333336</v>
      </c>
      <c r="I291" s="5">
        <v>120</v>
      </c>
      <c r="J291" s="5">
        <v>120</v>
      </c>
      <c r="K291" s="9">
        <f>J291-E291</f>
        <v>0</v>
      </c>
      <c r="L291" s="1">
        <f>IF(E291&lt;&gt;0,K291/E291,"")</f>
        <v>0</v>
      </c>
      <c r="M291" s="9">
        <f>J291-F291</f>
        <v>6.7999999999999972</v>
      </c>
      <c r="N291" s="1">
        <f>IF(F291&lt;&gt;0,M291/F291,"")</f>
        <v>6.0070671378091849E-2</v>
      </c>
      <c r="O291"/>
      <c r="P291" s="5">
        <v>120</v>
      </c>
    </row>
    <row r="292" spans="1:16" x14ac:dyDescent="0.45">
      <c r="C292" t="s">
        <v>36</v>
      </c>
      <c r="E292" s="5">
        <f>SUM(E290:E291)</f>
        <v>40440</v>
      </c>
      <c r="F292" s="5">
        <f t="shared" ref="F292:J292" si="127">SUM(F290:F291)</f>
        <v>40433.199999999997</v>
      </c>
      <c r="G292" s="8">
        <f t="shared" si="120"/>
        <v>-6.8000000000029104</v>
      </c>
      <c r="H292" s="1">
        <f t="shared" si="117"/>
        <v>0.999831849653808</v>
      </c>
      <c r="I292" s="5">
        <f t="shared" si="127"/>
        <v>40440</v>
      </c>
      <c r="J292" s="5">
        <f t="shared" si="127"/>
        <v>40440</v>
      </c>
      <c r="K292" s="9">
        <f>J292-E292</f>
        <v>0</v>
      </c>
      <c r="L292" s="1">
        <f>IF(E292&lt;&gt;0,K292/E292,"")</f>
        <v>0</v>
      </c>
      <c r="M292" s="9">
        <f>J292-F292</f>
        <v>6.8000000000029104</v>
      </c>
      <c r="N292" s="1">
        <f>IF(F292&lt;&gt;0,M292/F292,"")</f>
        <v>1.6817862548605876E-4</v>
      </c>
      <c r="O292"/>
      <c r="P292" s="5">
        <f t="shared" ref="P292" si="128">SUM(P290:P291)</f>
        <v>40440</v>
      </c>
    </row>
    <row r="293" spans="1:16" x14ac:dyDescent="0.45">
      <c r="H293" s="1"/>
      <c r="O293"/>
    </row>
    <row r="294" spans="1:16" x14ac:dyDescent="0.45">
      <c r="A294" t="s">
        <v>252</v>
      </c>
      <c r="E294" s="5">
        <f>E288+E292</f>
        <v>163308.35999999999</v>
      </c>
      <c r="F294" s="5">
        <f t="shared" ref="F294:J294" si="129">F288+F292</f>
        <v>57311.289999999994</v>
      </c>
      <c r="G294" s="8">
        <f t="shared" si="120"/>
        <v>-105997.06999999999</v>
      </c>
      <c r="H294" s="1">
        <f t="shared" si="117"/>
        <v>0.35093910685282736</v>
      </c>
      <c r="I294" s="5">
        <f>I288+I292</f>
        <v>57540</v>
      </c>
      <c r="J294" s="5">
        <f t="shared" si="129"/>
        <v>57240</v>
      </c>
      <c r="K294" s="9">
        <f>J294-E294</f>
        <v>-106068.35999999999</v>
      </c>
      <c r="L294" s="1">
        <f>IF(E294&lt;&gt;0,K294/E294,"")</f>
        <v>-0.64949742928041154</v>
      </c>
      <c r="M294" s="9">
        <f>J294-F294</f>
        <v>-71.289999999993597</v>
      </c>
      <c r="N294" s="1">
        <f>IF(F294&lt;&gt;0,M294/F294,"")</f>
        <v>-1.2439084864429609E-3</v>
      </c>
      <c r="O294"/>
      <c r="P294" s="5">
        <f>P288+P292</f>
        <v>57540</v>
      </c>
    </row>
    <row r="295" spans="1:16" x14ac:dyDescent="0.45">
      <c r="H295" s="1"/>
      <c r="O295"/>
    </row>
    <row r="296" spans="1:16" x14ac:dyDescent="0.45">
      <c r="H296" s="1"/>
    </row>
    <row r="297" spans="1:16" x14ac:dyDescent="0.45">
      <c r="A297" t="s">
        <v>253</v>
      </c>
      <c r="E297" s="13">
        <f>E273-E294</f>
        <v>1015193.0000000001</v>
      </c>
      <c r="F297" s="13">
        <f>F273-F294</f>
        <v>1108726.17</v>
      </c>
      <c r="G297" s="8">
        <f>E297-F297</f>
        <v>-93533.169999999809</v>
      </c>
      <c r="H297" s="1">
        <f t="shared" si="117"/>
        <v>1.0921333874445547</v>
      </c>
      <c r="I297" s="13">
        <f>I273-I294</f>
        <v>1349396</v>
      </c>
      <c r="J297" s="13">
        <f>J273-J294</f>
        <v>1348555</v>
      </c>
      <c r="K297" s="9">
        <f>J297-E297</f>
        <v>333361.99999999988</v>
      </c>
      <c r="L297" s="1">
        <f>IF(E297&lt;&gt;0,K297/E297,"")</f>
        <v>0.32837302857683204</v>
      </c>
      <c r="M297" s="9">
        <f>J297-F297</f>
        <v>239828.83000000007</v>
      </c>
      <c r="N297" s="1">
        <f>IF(F297&lt;&gt;0,M297/F297,"")</f>
        <v>0.21631024547747446</v>
      </c>
      <c r="P297" s="13">
        <f>P273-P294</f>
        <v>1247202.9279800002</v>
      </c>
    </row>
    <row r="298" spans="1:16" x14ac:dyDescent="0.45">
      <c r="E298"/>
      <c r="F298"/>
      <c r="G298"/>
      <c r="H298" s="1"/>
      <c r="I298"/>
      <c r="J298"/>
      <c r="K298" s="10"/>
      <c r="M298" s="10"/>
      <c r="P298"/>
    </row>
    <row r="299" spans="1:16" x14ac:dyDescent="0.45">
      <c r="C299" t="s">
        <v>240</v>
      </c>
      <c r="F299"/>
      <c r="G299"/>
      <c r="H299" s="1"/>
      <c r="I299">
        <v>258</v>
      </c>
      <c r="J299">
        <v>258</v>
      </c>
      <c r="K299" s="10"/>
      <c r="M299" s="10"/>
      <c r="P299">
        <v>270</v>
      </c>
    </row>
    <row r="300" spans="1:16" x14ac:dyDescent="0.45">
      <c r="C300" t="s">
        <v>239</v>
      </c>
      <c r="F300"/>
      <c r="G300"/>
      <c r="H300" s="1"/>
      <c r="I300">
        <v>24</v>
      </c>
      <c r="J300">
        <v>30</v>
      </c>
      <c r="K300" s="10"/>
      <c r="M300" s="10"/>
      <c r="P300">
        <v>30</v>
      </c>
    </row>
    <row r="301" spans="1:16" x14ac:dyDescent="0.45">
      <c r="C301" t="s">
        <v>238</v>
      </c>
      <c r="F301"/>
      <c r="G301"/>
      <c r="H301" s="1"/>
      <c r="I301">
        <f>I299-I300</f>
        <v>234</v>
      </c>
      <c r="J301">
        <f>J299-J300</f>
        <v>228</v>
      </c>
      <c r="K301" s="10"/>
      <c r="M301" s="10"/>
      <c r="P301">
        <f>P299-P300</f>
        <v>240</v>
      </c>
    </row>
    <row r="302" spans="1:16" x14ac:dyDescent="0.45">
      <c r="E302"/>
      <c r="F302"/>
      <c r="G302"/>
      <c r="H302" s="1"/>
      <c r="I302"/>
      <c r="J302"/>
      <c r="K302" s="10"/>
      <c r="M302" s="10"/>
      <c r="P302"/>
    </row>
    <row r="303" spans="1:16" x14ac:dyDescent="0.45">
      <c r="C303" t="s">
        <v>431</v>
      </c>
      <c r="E303"/>
      <c r="F303"/>
      <c r="G303"/>
      <c r="H303" s="1"/>
      <c r="I303">
        <f>(I300*1.5)+I301</f>
        <v>270</v>
      </c>
      <c r="J303">
        <f>(J300*1.5)+J301</f>
        <v>273</v>
      </c>
      <c r="K303" s="10"/>
      <c r="M303" s="10"/>
      <c r="P303">
        <f>(P300*1.5)+P301</f>
        <v>285</v>
      </c>
    </row>
    <row r="304" spans="1:16" x14ac:dyDescent="0.45">
      <c r="E304"/>
      <c r="F304"/>
      <c r="G304"/>
      <c r="H304" s="1"/>
      <c r="I304"/>
      <c r="J304"/>
      <c r="K304" s="10"/>
      <c r="M304" s="10"/>
      <c r="P304"/>
    </row>
    <row r="305" spans="3:16" x14ac:dyDescent="0.45">
      <c r="C305" t="s">
        <v>241</v>
      </c>
      <c r="E305"/>
      <c r="F305"/>
      <c r="G305"/>
      <c r="H305" s="1"/>
      <c r="I305" s="15">
        <f>I297/I303/12</f>
        <v>416.48024691358023</v>
      </c>
      <c r="J305" s="3">
        <f>J297/J303/12</f>
        <v>411.64682539682536</v>
      </c>
      <c r="K305" s="3"/>
      <c r="L305" s="3"/>
      <c r="M305" s="3"/>
      <c r="N305" s="3"/>
      <c r="O305" s="3"/>
      <c r="P305" s="3">
        <f>P297/P303/12</f>
        <v>364.67921870760239</v>
      </c>
    </row>
    <row r="306" spans="3:16" x14ac:dyDescent="0.45">
      <c r="E306"/>
      <c r="F306"/>
      <c r="G306"/>
      <c r="H306" s="1"/>
      <c r="I306" s="15"/>
      <c r="J306" s="3"/>
      <c r="K306" s="3"/>
      <c r="L306" s="3"/>
      <c r="M306" s="3"/>
      <c r="N306" s="3"/>
      <c r="O306" s="3"/>
      <c r="P306" s="3"/>
    </row>
    <row r="307" spans="3:16" x14ac:dyDescent="0.45">
      <c r="C307" t="s">
        <v>242</v>
      </c>
      <c r="E307"/>
      <c r="F307"/>
      <c r="G307"/>
      <c r="H307" s="1"/>
      <c r="I307" s="15">
        <f>((I300*1.5)+I301)*I305*12</f>
        <v>1349396</v>
      </c>
      <c r="J307" s="3">
        <f>((J300*1.5)+J301)*J305*12</f>
        <v>1348555</v>
      </c>
      <c r="K307" s="3"/>
      <c r="L307" s="3"/>
      <c r="M307" s="3"/>
      <c r="N307" s="3"/>
      <c r="O307" s="3"/>
      <c r="P307" s="3">
        <f>((P300*1.5)+P301)*P305*12</f>
        <v>1247202.9279800002</v>
      </c>
    </row>
    <row r="308" spans="3:16" x14ac:dyDescent="0.45">
      <c r="E308"/>
      <c r="F308"/>
      <c r="G308"/>
      <c r="H308" s="1"/>
      <c r="I308"/>
      <c r="J308" s="3"/>
      <c r="K308" s="3"/>
      <c r="L308" s="3"/>
      <c r="M308" s="3"/>
      <c r="N308" s="3"/>
      <c r="O308" s="3"/>
      <c r="P308" s="3"/>
    </row>
    <row r="309" spans="3:16" x14ac:dyDescent="0.45">
      <c r="C309" t="s">
        <v>260</v>
      </c>
      <c r="E309"/>
      <c r="F309"/>
      <c r="G309"/>
      <c r="H309" s="1"/>
      <c r="I309"/>
      <c r="J309" s="3"/>
      <c r="K309" s="3"/>
      <c r="L309" s="3"/>
      <c r="M309" s="3"/>
      <c r="N309" s="3"/>
      <c r="O309" s="3"/>
      <c r="P309" s="3"/>
    </row>
    <row r="310" spans="3:16" x14ac:dyDescent="0.45">
      <c r="C310" t="s">
        <v>426</v>
      </c>
      <c r="E310"/>
      <c r="F310"/>
      <c r="G310"/>
      <c r="H310" s="1"/>
      <c r="I310"/>
      <c r="J310" s="3">
        <v>346</v>
      </c>
      <c r="K310" s="3"/>
      <c r="L310" s="3"/>
      <c r="M310" s="3"/>
      <c r="N310" s="3"/>
      <c r="O310" s="3"/>
      <c r="P310" s="3">
        <f>346</f>
        <v>346</v>
      </c>
    </row>
    <row r="311" spans="3:16" x14ac:dyDescent="0.45">
      <c r="C311" t="s">
        <v>427</v>
      </c>
      <c r="E311"/>
      <c r="F311"/>
      <c r="G311"/>
      <c r="H311" s="1"/>
      <c r="I311"/>
      <c r="J311" s="3">
        <f>J310*1.5</f>
        <v>519</v>
      </c>
      <c r="K311" s="3"/>
      <c r="L311" s="3"/>
      <c r="M311" s="3"/>
      <c r="N311" s="3"/>
      <c r="O311" s="3"/>
      <c r="P311" s="3">
        <f>P310*1.5</f>
        <v>519</v>
      </c>
    </row>
    <row r="312" spans="3:16" x14ac:dyDescent="0.45">
      <c r="E312"/>
      <c r="F312"/>
      <c r="G312"/>
      <c r="H312" s="1"/>
      <c r="I312"/>
      <c r="J312"/>
      <c r="K312" s="10"/>
      <c r="M312" s="10"/>
      <c r="P312"/>
    </row>
    <row r="313" spans="3:16" x14ac:dyDescent="0.45">
      <c r="C313" t="s">
        <v>432</v>
      </c>
      <c r="E313"/>
      <c r="F313"/>
      <c r="G313"/>
      <c r="H313" s="1"/>
      <c r="I313"/>
      <c r="J313"/>
      <c r="K313" s="10"/>
      <c r="M313" s="10"/>
      <c r="P313"/>
    </row>
    <row r="314" spans="3:16" x14ac:dyDescent="0.45">
      <c r="C314" t="s">
        <v>426</v>
      </c>
      <c r="E314"/>
      <c r="F314"/>
      <c r="G314"/>
      <c r="H314" s="1"/>
      <c r="I314"/>
      <c r="J314" s="3">
        <f>J305</f>
        <v>411.64682539682536</v>
      </c>
      <c r="K314" s="10"/>
      <c r="M314" s="10"/>
      <c r="P314" s="3">
        <f>P305</f>
        <v>364.67921870760239</v>
      </c>
    </row>
    <row r="315" spans="3:16" x14ac:dyDescent="0.45">
      <c r="C315" t="s">
        <v>427</v>
      </c>
      <c r="E315"/>
      <c r="F315"/>
      <c r="G315"/>
      <c r="H315" s="1"/>
      <c r="I315"/>
      <c r="J315" s="3">
        <f>J314*1.5</f>
        <v>617.47023809523807</v>
      </c>
      <c r="K315" s="10"/>
      <c r="M315" s="10"/>
      <c r="P315" s="3">
        <f>P314*1.5</f>
        <v>547.01882806140361</v>
      </c>
    </row>
    <row r="316" spans="3:16" x14ac:dyDescent="0.45">
      <c r="E316"/>
      <c r="F316"/>
      <c r="G316"/>
      <c r="H316" s="1"/>
      <c r="I316"/>
      <c r="J316"/>
      <c r="K316" s="10"/>
      <c r="M316" s="10"/>
      <c r="P316"/>
    </row>
    <row r="317" spans="3:16" x14ac:dyDescent="0.45">
      <c r="C317" t="s">
        <v>433</v>
      </c>
      <c r="E317"/>
      <c r="F317"/>
      <c r="G317"/>
      <c r="H317" s="1"/>
      <c r="I317"/>
      <c r="J317"/>
      <c r="K317" s="10"/>
      <c r="M317" s="10"/>
      <c r="P317"/>
    </row>
    <row r="318" spans="3:16" x14ac:dyDescent="0.45">
      <c r="C318" t="s">
        <v>434</v>
      </c>
      <c r="E318"/>
      <c r="F318"/>
      <c r="G318"/>
      <c r="H318" s="1"/>
      <c r="I318"/>
      <c r="J318" s="3">
        <f>J314-J310</f>
        <v>65.646825396825363</v>
      </c>
      <c r="K318" s="10"/>
      <c r="M318" s="10"/>
      <c r="P318" s="3">
        <f>P314-P310</f>
        <v>18.679218707602388</v>
      </c>
    </row>
    <row r="319" spans="3:16" x14ac:dyDescent="0.45">
      <c r="C319" t="s">
        <v>427</v>
      </c>
      <c r="E319"/>
      <c r="F319"/>
      <c r="G319"/>
      <c r="H319" s="1"/>
      <c r="I319"/>
      <c r="J319" s="25">
        <f>J315-J311</f>
        <v>98.470238095238074</v>
      </c>
      <c r="K319" s="10"/>
      <c r="M319" s="10"/>
      <c r="P319" s="25">
        <f>P315-P311</f>
        <v>28.01882806140361</v>
      </c>
    </row>
    <row r="320" spans="3:16" x14ac:dyDescent="0.45">
      <c r="E320"/>
      <c r="F320"/>
      <c r="G320"/>
      <c r="H320" s="1"/>
      <c r="I320"/>
      <c r="J320"/>
      <c r="K320" s="10"/>
      <c r="M320" s="10"/>
      <c r="P320"/>
    </row>
    <row r="321" spans="1:16" x14ac:dyDescent="0.45">
      <c r="C321" t="s">
        <v>430</v>
      </c>
      <c r="E321"/>
      <c r="F321"/>
      <c r="G321"/>
      <c r="H321" s="1"/>
      <c r="I321"/>
      <c r="J321"/>
      <c r="K321" s="10"/>
      <c r="M321" s="10"/>
      <c r="P321"/>
    </row>
    <row r="322" spans="1:16" x14ac:dyDescent="0.45">
      <c r="C322" t="s">
        <v>428</v>
      </c>
      <c r="E322"/>
      <c r="F322"/>
      <c r="G322"/>
      <c r="H322" s="1"/>
      <c r="I322"/>
      <c r="J322" s="3">
        <f>J260-F260</f>
        <v>217864.59000000008</v>
      </c>
      <c r="K322" s="10"/>
      <c r="M322" s="10"/>
      <c r="P322" s="3">
        <f>P260-E260</f>
        <v>115433.554</v>
      </c>
    </row>
    <row r="323" spans="1:16" x14ac:dyDescent="0.45">
      <c r="E323"/>
      <c r="F323"/>
      <c r="G323"/>
      <c r="H323" s="1"/>
      <c r="I323"/>
      <c r="J323"/>
      <c r="K323" s="10"/>
      <c r="M323" s="10"/>
      <c r="P323"/>
    </row>
    <row r="324" spans="1:16" x14ac:dyDescent="0.45">
      <c r="C324" t="s">
        <v>429</v>
      </c>
      <c r="E324"/>
      <c r="F324"/>
      <c r="G324"/>
      <c r="H324" s="1"/>
      <c r="I324"/>
      <c r="J324" s="3">
        <f>J322/J299/12</f>
        <v>70.369699612403124</v>
      </c>
      <c r="K324" s="10"/>
      <c r="M324" s="10"/>
      <c r="P324" s="3">
        <f>P322/P299/12</f>
        <v>35.627640123456793</v>
      </c>
    </row>
    <row r="325" spans="1:16" x14ac:dyDescent="0.45">
      <c r="E325"/>
      <c r="F325"/>
      <c r="G325"/>
      <c r="H325" s="1"/>
      <c r="I325"/>
      <c r="J325"/>
      <c r="K325" s="10"/>
      <c r="M325" s="10"/>
      <c r="P325"/>
    </row>
    <row r="326" spans="1:16" x14ac:dyDescent="0.45">
      <c r="B326">
        <v>4000</v>
      </c>
      <c r="C326" t="s">
        <v>7</v>
      </c>
      <c r="E326" s="5">
        <v>1016202</v>
      </c>
      <c r="F326" s="5">
        <v>1012273.36</v>
      </c>
      <c r="G326" s="8">
        <f>F326-E326</f>
        <v>-3928.640000000014</v>
      </c>
      <c r="H326" s="1">
        <f t="shared" si="117"/>
        <v>0.9961339969809152</v>
      </c>
      <c r="I326" s="13">
        <v>1351910</v>
      </c>
      <c r="J326" s="13">
        <v>1350508</v>
      </c>
      <c r="K326" s="9">
        <f>J326-E326</f>
        <v>334306</v>
      </c>
      <c r="L326" s="1">
        <f>IF(E326&lt;&gt;0,K326/E326,"")</f>
        <v>0.32897593195053737</v>
      </c>
      <c r="M326" s="9">
        <f>J326-F326</f>
        <v>338234.64</v>
      </c>
      <c r="N326" s="1">
        <f>IF(F326&lt;&gt;0,M326/F326,"")</f>
        <v>0.33413369685042388</v>
      </c>
      <c r="O326"/>
      <c r="P326" s="13">
        <f>P307</f>
        <v>1247202.9279800002</v>
      </c>
    </row>
    <row r="327" spans="1:16" x14ac:dyDescent="0.45">
      <c r="H327" s="1"/>
    </row>
    <row r="328" spans="1:16" x14ac:dyDescent="0.45">
      <c r="A328" t="s">
        <v>37</v>
      </c>
      <c r="C328" t="s">
        <v>261</v>
      </c>
      <c r="E328" s="5">
        <f>E294+E326</f>
        <v>1179510.3599999999</v>
      </c>
      <c r="F328" s="5">
        <f>F294+F326</f>
        <v>1069584.6499999999</v>
      </c>
      <c r="G328" s="8">
        <f>F328-E328</f>
        <v>-109925.70999999996</v>
      </c>
      <c r="H328" s="1">
        <f t="shared" si="117"/>
        <v>0.90680394702086387</v>
      </c>
      <c r="I328" s="5">
        <f>I294+I326</f>
        <v>1409450</v>
      </c>
      <c r="J328" s="5">
        <f>J294+J326</f>
        <v>1407748</v>
      </c>
      <c r="K328" s="9">
        <f>J328-E328</f>
        <v>228237.64000000013</v>
      </c>
      <c r="L328" s="1">
        <f>IF(E328&lt;&gt;0,K328/E328,"")</f>
        <v>0.19350202231373378</v>
      </c>
      <c r="M328" s="9">
        <f>J328-F328</f>
        <v>338163.35000000009</v>
      </c>
      <c r="N328" s="1">
        <f>IF(F328&lt;&gt;0,M328/F328,"")</f>
        <v>0.31616324149752911</v>
      </c>
      <c r="P328" s="5">
        <f>P294+P326</f>
        <v>1304742.9279800002</v>
      </c>
    </row>
    <row r="329" spans="1:16" x14ac:dyDescent="0.45">
      <c r="C329" t="s">
        <v>262</v>
      </c>
      <c r="E329" s="5">
        <v>1179510.3600000001</v>
      </c>
      <c r="F329" s="5">
        <v>1179511.3600000001</v>
      </c>
      <c r="H329" s="1"/>
      <c r="J329" s="5">
        <v>1407748</v>
      </c>
    </row>
    <row r="330" spans="1:16" x14ac:dyDescent="0.45">
      <c r="C330" t="s">
        <v>248</v>
      </c>
      <c r="E330" s="13">
        <f>E328-E329</f>
        <v>0</v>
      </c>
      <c r="F330" s="13">
        <f>F328-F329</f>
        <v>-109926.7100000002</v>
      </c>
      <c r="G330" s="13">
        <f>G328-G329</f>
        <v>-109925.70999999996</v>
      </c>
      <c r="H330" s="1"/>
      <c r="I330" s="13">
        <f>I328-I329</f>
        <v>1409450</v>
      </c>
      <c r="J330" s="13">
        <f>J328-J329</f>
        <v>0</v>
      </c>
    </row>
    <row r="331" spans="1:16" x14ac:dyDescent="0.45">
      <c r="H331" s="1"/>
    </row>
    <row r="332" spans="1:16" x14ac:dyDescent="0.45">
      <c r="H332" s="1"/>
    </row>
    <row r="333" spans="1:16" x14ac:dyDescent="0.45">
      <c r="A333" t="s">
        <v>263</v>
      </c>
      <c r="C333" t="s">
        <v>261</v>
      </c>
      <c r="E333" s="5">
        <f>E328-E273</f>
        <v>1008.9999999997672</v>
      </c>
      <c r="F333" s="5">
        <f>F328-F273</f>
        <v>-96452.810000000056</v>
      </c>
      <c r="H333" s="1"/>
      <c r="I333" s="5">
        <f>I328-I273</f>
        <v>2514</v>
      </c>
      <c r="J333" s="5">
        <f>J328-J273</f>
        <v>1953</v>
      </c>
      <c r="K333" s="9">
        <f>J333-E333</f>
        <v>944.00000000023283</v>
      </c>
      <c r="L333" s="1">
        <f>IF(E333&lt;&gt;0,K333/E333,"")</f>
        <v>0.93557978196278557</v>
      </c>
      <c r="M333" s="9">
        <f>J333-F333</f>
        <v>98405.810000000056</v>
      </c>
      <c r="N333" s="1">
        <f>IF(F333&lt;&gt;0,M333/F333,"")</f>
        <v>-1.0202482436748084</v>
      </c>
      <c r="P333" s="5">
        <f>P328-P273</f>
        <v>0</v>
      </c>
    </row>
    <row r="334" spans="1:16" x14ac:dyDescent="0.45">
      <c r="C334" t="s">
        <v>262</v>
      </c>
      <c r="E334" s="5">
        <v>1010</v>
      </c>
      <c r="F334" s="5">
        <v>1009</v>
      </c>
      <c r="H334" s="1"/>
      <c r="I334" s="5">
        <v>2515</v>
      </c>
      <c r="J334" s="5">
        <v>1954</v>
      </c>
    </row>
    <row r="335" spans="1:16" x14ac:dyDescent="0.45">
      <c r="C335" t="s">
        <v>248</v>
      </c>
      <c r="E335" s="13">
        <f>E333-E334</f>
        <v>-1.0000000002328306</v>
      </c>
      <c r="F335" s="13">
        <f>F333-F334</f>
        <v>-97461.810000000056</v>
      </c>
      <c r="H335" s="1"/>
      <c r="I335" s="13">
        <f>I333-I334</f>
        <v>-1</v>
      </c>
      <c r="J335" s="13">
        <f>J333-J334</f>
        <v>-1</v>
      </c>
    </row>
    <row r="336" spans="1:16" x14ac:dyDescent="0.45">
      <c r="H336" s="1"/>
    </row>
    <row r="337" spans="1:16" x14ac:dyDescent="0.45">
      <c r="H337" s="1"/>
    </row>
    <row r="338" spans="1:16" x14ac:dyDescent="0.45">
      <c r="A338" t="s">
        <v>264</v>
      </c>
      <c r="H338" s="1"/>
    </row>
    <row r="339" spans="1:16" x14ac:dyDescent="0.45">
      <c r="H339" s="1"/>
    </row>
    <row r="340" spans="1:16" x14ac:dyDescent="0.45">
      <c r="B340" t="s">
        <v>266</v>
      </c>
      <c r="C340" t="s">
        <v>265</v>
      </c>
      <c r="H340" s="1"/>
    </row>
    <row r="341" spans="1:16" x14ac:dyDescent="0.45">
      <c r="H341" s="1"/>
    </row>
    <row r="342" spans="1:16" x14ac:dyDescent="0.45">
      <c r="B342">
        <v>4000</v>
      </c>
      <c r="C342" t="s">
        <v>267</v>
      </c>
      <c r="H342" s="1"/>
    </row>
    <row r="343" spans="1:16" x14ac:dyDescent="0.45">
      <c r="B343">
        <v>4000</v>
      </c>
      <c r="C343" t="s">
        <v>268</v>
      </c>
      <c r="E343" s="5">
        <f>E326</f>
        <v>1016202</v>
      </c>
      <c r="F343" s="5">
        <f>F326</f>
        <v>1012273.36</v>
      </c>
      <c r="G343" s="8">
        <f>E343-F343</f>
        <v>3928.640000000014</v>
      </c>
      <c r="H343" s="1">
        <f t="shared" si="117"/>
        <v>0.9961339969809152</v>
      </c>
      <c r="I343" s="5">
        <f>I326</f>
        <v>1351910</v>
      </c>
      <c r="J343" s="5">
        <f>J326</f>
        <v>1350508</v>
      </c>
      <c r="K343" s="9">
        <f>J343-E343</f>
        <v>334306</v>
      </c>
      <c r="L343" s="1">
        <f>IF(E343&lt;&gt;0,K343/E343,"")</f>
        <v>0.32897593195053737</v>
      </c>
      <c r="M343" s="9">
        <f>J343-F343</f>
        <v>338234.64</v>
      </c>
      <c r="N343" s="1">
        <f>IF(F343&lt;&gt;0,M343/F343,"")</f>
        <v>0.33413369685042388</v>
      </c>
      <c r="O343"/>
      <c r="P343" s="5">
        <f>P326</f>
        <v>1247202.9279800002</v>
      </c>
    </row>
    <row r="344" spans="1:16" x14ac:dyDescent="0.45">
      <c r="B344">
        <f>B290</f>
        <v>4035</v>
      </c>
      <c r="C344" t="s">
        <v>34</v>
      </c>
      <c r="E344" s="5">
        <f>E290</f>
        <v>40320</v>
      </c>
      <c r="F344" s="5">
        <f>F290</f>
        <v>40320</v>
      </c>
      <c r="G344" s="8">
        <f t="shared" ref="G344:G408" si="130">E344-F344</f>
        <v>0</v>
      </c>
      <c r="H344" s="1">
        <f t="shared" si="117"/>
        <v>1</v>
      </c>
      <c r="I344" s="5">
        <f>I290</f>
        <v>40320</v>
      </c>
      <c r="J344" s="5">
        <f>J290</f>
        <v>40320</v>
      </c>
      <c r="K344" s="9">
        <f t="shared" ref="K344:K408" si="131">J344-E344</f>
        <v>0</v>
      </c>
      <c r="L344" s="1">
        <f t="shared" ref="L344:L408" si="132">IF(E344&lt;&gt;0,K344/E344,"")</f>
        <v>0</v>
      </c>
      <c r="M344" s="9">
        <f t="shared" ref="M344:M408" si="133">J344-F344</f>
        <v>0</v>
      </c>
      <c r="N344" s="1">
        <f t="shared" ref="N344:N408" si="134">IF(F344&lt;&gt;0,M344/F344,"")</f>
        <v>0</v>
      </c>
      <c r="P344" s="5">
        <f>P290</f>
        <v>40320</v>
      </c>
    </row>
    <row r="345" spans="1:16" x14ac:dyDescent="0.45">
      <c r="B345">
        <f>B342</f>
        <v>4000</v>
      </c>
      <c r="C345" t="s">
        <v>269</v>
      </c>
      <c r="E345" s="5">
        <f>SUM(E343:E344)</f>
        <v>1056522</v>
      </c>
      <c r="F345" s="5">
        <f>SUM(F343:F344)</f>
        <v>1052593.3599999999</v>
      </c>
      <c r="G345" s="8">
        <f t="shared" si="130"/>
        <v>3928.6400000001304</v>
      </c>
      <c r="H345" s="1">
        <f t="shared" si="117"/>
        <v>0.996281535074518</v>
      </c>
      <c r="I345" s="5">
        <f>SUM(I343:I344)</f>
        <v>1392230</v>
      </c>
      <c r="J345" s="5">
        <f>SUM(J343:J344)</f>
        <v>1390828</v>
      </c>
      <c r="K345" s="9">
        <f t="shared" si="131"/>
        <v>334306</v>
      </c>
      <c r="L345" s="1">
        <f t="shared" si="132"/>
        <v>0.31642123874372707</v>
      </c>
      <c r="M345" s="9">
        <f t="shared" si="133"/>
        <v>338234.64000000013</v>
      </c>
      <c r="N345" s="1">
        <f t="shared" si="134"/>
        <v>0.32133457501574986</v>
      </c>
      <c r="P345" s="5">
        <f>SUM(P343:P344)</f>
        <v>1287522.9279800002</v>
      </c>
    </row>
    <row r="346" spans="1:16" x14ac:dyDescent="0.45">
      <c r="G346"/>
      <c r="H346" s="1"/>
      <c r="I346"/>
      <c r="J346"/>
      <c r="K346"/>
      <c r="L346"/>
      <c r="M346"/>
      <c r="N346"/>
    </row>
    <row r="347" spans="1:16" x14ac:dyDescent="0.45">
      <c r="B347">
        <v>4200</v>
      </c>
      <c r="C347" t="s">
        <v>270</v>
      </c>
      <c r="F347"/>
      <c r="G347"/>
      <c r="H347" s="1"/>
      <c r="I347"/>
      <c r="J347"/>
      <c r="K347"/>
      <c r="L347"/>
      <c r="M347"/>
      <c r="N347"/>
    </row>
    <row r="348" spans="1:16" x14ac:dyDescent="0.45">
      <c r="B348">
        <f>B283</f>
        <v>4225</v>
      </c>
      <c r="C348" t="s">
        <v>271</v>
      </c>
      <c r="E348" s="5">
        <f>E283</f>
        <v>0</v>
      </c>
      <c r="F348" s="5">
        <f>F283</f>
        <v>1500</v>
      </c>
      <c r="G348" s="8">
        <f t="shared" si="130"/>
        <v>-1500</v>
      </c>
      <c r="H348" s="1" t="str">
        <f t="shared" si="117"/>
        <v/>
      </c>
      <c r="I348" s="5">
        <f>I283</f>
        <v>0</v>
      </c>
      <c r="J348" s="5">
        <f>J283</f>
        <v>0</v>
      </c>
      <c r="K348" s="9">
        <f t="shared" si="131"/>
        <v>0</v>
      </c>
      <c r="L348" s="1" t="str">
        <f t="shared" si="132"/>
        <v/>
      </c>
      <c r="M348" s="9">
        <f t="shared" si="133"/>
        <v>-1500</v>
      </c>
      <c r="N348" s="1">
        <f t="shared" si="134"/>
        <v>-1</v>
      </c>
      <c r="P348" s="5">
        <f>P283</f>
        <v>0</v>
      </c>
    </row>
    <row r="349" spans="1:16" x14ac:dyDescent="0.45">
      <c r="B349">
        <f>B347</f>
        <v>4200</v>
      </c>
      <c r="C349" t="s">
        <v>272</v>
      </c>
      <c r="E349" s="5">
        <f>SUM(E348:E348)</f>
        <v>0</v>
      </c>
      <c r="F349" s="5">
        <f>SUM(F348:F348)</f>
        <v>1500</v>
      </c>
      <c r="G349" s="8">
        <f t="shared" si="130"/>
        <v>-1500</v>
      </c>
      <c r="H349" s="1" t="str">
        <f t="shared" ref="H349:H412" si="135">IF(E349&lt;&gt;0,F349/E349,"")</f>
        <v/>
      </c>
      <c r="I349" s="5">
        <f>SUM(I348:I348)</f>
        <v>0</v>
      </c>
      <c r="J349" s="5">
        <f>SUM(J348:J348)</f>
        <v>0</v>
      </c>
      <c r="K349" s="9">
        <f t="shared" si="131"/>
        <v>0</v>
      </c>
      <c r="L349" s="1" t="str">
        <f t="shared" si="132"/>
        <v/>
      </c>
      <c r="M349" s="9">
        <f t="shared" si="133"/>
        <v>-1500</v>
      </c>
      <c r="N349" s="1">
        <f t="shared" si="134"/>
        <v>-1</v>
      </c>
      <c r="P349" s="5">
        <f>SUM(P348:P348)</f>
        <v>0</v>
      </c>
    </row>
    <row r="350" spans="1:16" x14ac:dyDescent="0.45">
      <c r="G350"/>
      <c r="H350" s="1"/>
      <c r="I350"/>
      <c r="J350"/>
      <c r="K350"/>
      <c r="L350"/>
      <c r="M350"/>
      <c r="N350"/>
    </row>
    <row r="351" spans="1:16" x14ac:dyDescent="0.45">
      <c r="B351">
        <v>4400</v>
      </c>
      <c r="C351" t="s">
        <v>273</v>
      </c>
      <c r="F351"/>
      <c r="G351"/>
      <c r="H351" s="1"/>
      <c r="I351"/>
      <c r="J351"/>
      <c r="K351"/>
      <c r="L351"/>
      <c r="M351"/>
      <c r="N351"/>
      <c r="O351"/>
    </row>
    <row r="352" spans="1:16" x14ac:dyDescent="0.45">
      <c r="B352">
        <f>B280</f>
        <v>4007</v>
      </c>
      <c r="C352" t="str">
        <f>C280</f>
        <v>Clubhouse Rental</v>
      </c>
      <c r="E352" s="5">
        <f>E280</f>
        <v>12600</v>
      </c>
      <c r="F352" s="5">
        <f>F280</f>
        <v>8780.15</v>
      </c>
      <c r="G352" s="8">
        <f t="shared" si="130"/>
        <v>3819.8500000000004</v>
      </c>
      <c r="H352" s="1">
        <f t="shared" si="135"/>
        <v>0.69683730158730151</v>
      </c>
      <c r="I352" s="5">
        <f>I280</f>
        <v>16800</v>
      </c>
      <c r="J352" s="5">
        <f>J280</f>
        <v>16800</v>
      </c>
      <c r="K352" s="9">
        <f t="shared" si="131"/>
        <v>4200</v>
      </c>
      <c r="L352" s="1">
        <f t="shared" si="132"/>
        <v>0.33333333333333331</v>
      </c>
      <c r="M352" s="9">
        <f t="shared" si="133"/>
        <v>8019.85</v>
      </c>
      <c r="N352" s="1">
        <f t="shared" si="134"/>
        <v>0.91340694635057496</v>
      </c>
      <c r="P352" s="5">
        <f>P280</f>
        <v>16800</v>
      </c>
    </row>
    <row r="353" spans="2:16" x14ac:dyDescent="0.45">
      <c r="B353">
        <f>B351</f>
        <v>4400</v>
      </c>
      <c r="C353" t="s">
        <v>274</v>
      </c>
      <c r="E353" s="5">
        <f>SUM(E352:E352)</f>
        <v>12600</v>
      </c>
      <c r="F353" s="5">
        <f>SUM(F352:F352)</f>
        <v>8780.15</v>
      </c>
      <c r="G353" s="8">
        <f t="shared" si="130"/>
        <v>3819.8500000000004</v>
      </c>
      <c r="H353" s="1">
        <f t="shared" si="135"/>
        <v>0.69683730158730151</v>
      </c>
      <c r="I353" s="5">
        <f>SUM(I352:I352)</f>
        <v>16800</v>
      </c>
      <c r="J353" s="5">
        <f>SUM(J352:J352)</f>
        <v>16800</v>
      </c>
      <c r="K353" s="9">
        <f t="shared" si="131"/>
        <v>4200</v>
      </c>
      <c r="L353" s="1">
        <f t="shared" si="132"/>
        <v>0.33333333333333331</v>
      </c>
      <c r="M353" s="9">
        <f t="shared" si="133"/>
        <v>8019.85</v>
      </c>
      <c r="N353" s="1">
        <f t="shared" si="134"/>
        <v>0.91340694635057496</v>
      </c>
      <c r="P353" s="5">
        <f>SUM(P352:P352)</f>
        <v>16800</v>
      </c>
    </row>
    <row r="354" spans="2:16" x14ac:dyDescent="0.45">
      <c r="G354"/>
      <c r="H354" s="1"/>
      <c r="I354"/>
      <c r="J354"/>
      <c r="K354"/>
      <c r="L354"/>
      <c r="M354"/>
      <c r="N354"/>
    </row>
    <row r="355" spans="2:16" x14ac:dyDescent="0.45">
      <c r="B355">
        <v>4800</v>
      </c>
      <c r="C355" t="s">
        <v>275</v>
      </c>
      <c r="G355"/>
      <c r="H355" s="1"/>
      <c r="I355"/>
      <c r="J355"/>
      <c r="K355"/>
      <c r="L355"/>
      <c r="M355"/>
      <c r="N355"/>
    </row>
    <row r="356" spans="2:16" x14ac:dyDescent="0.45">
      <c r="B356">
        <v>4810</v>
      </c>
      <c r="C356" t="s">
        <v>276</v>
      </c>
      <c r="E356" s="5">
        <f>E282</f>
        <v>0</v>
      </c>
      <c r="F356" s="5">
        <f>F282</f>
        <v>400</v>
      </c>
      <c r="G356" s="8">
        <f t="shared" si="130"/>
        <v>-400</v>
      </c>
      <c r="H356" s="1" t="str">
        <f t="shared" si="135"/>
        <v/>
      </c>
      <c r="I356" s="5">
        <f>I282</f>
        <v>0</v>
      </c>
      <c r="J356" s="5">
        <f>J282</f>
        <v>0</v>
      </c>
      <c r="K356" s="9">
        <f t="shared" si="131"/>
        <v>0</v>
      </c>
      <c r="L356" s="1" t="str">
        <f t="shared" si="132"/>
        <v/>
      </c>
      <c r="M356" s="9">
        <f t="shared" si="133"/>
        <v>-400</v>
      </c>
      <c r="N356" s="1">
        <f t="shared" si="134"/>
        <v>-1</v>
      </c>
      <c r="P356" s="5">
        <f>P282</f>
        <v>0</v>
      </c>
    </row>
    <row r="357" spans="2:16" x14ac:dyDescent="0.45">
      <c r="B357">
        <v>4836</v>
      </c>
      <c r="C357" t="s">
        <v>277</v>
      </c>
      <c r="E357" s="5">
        <f>E284</f>
        <v>0</v>
      </c>
      <c r="F357" s="5">
        <f>F284</f>
        <v>5924.4</v>
      </c>
      <c r="G357" s="8">
        <f t="shared" si="130"/>
        <v>-5924.4</v>
      </c>
      <c r="H357" s="1" t="str">
        <f t="shared" si="135"/>
        <v/>
      </c>
      <c r="I357" s="5">
        <f>I284</f>
        <v>0</v>
      </c>
      <c r="J357" s="5">
        <f>J284</f>
        <v>0</v>
      </c>
      <c r="K357" s="9">
        <f t="shared" si="131"/>
        <v>0</v>
      </c>
      <c r="L357" s="1" t="str">
        <f t="shared" si="132"/>
        <v/>
      </c>
      <c r="M357" s="9">
        <f t="shared" si="133"/>
        <v>-5924.4</v>
      </c>
      <c r="N357" s="1">
        <f t="shared" si="134"/>
        <v>-1</v>
      </c>
      <c r="P357" s="5">
        <f>P284</f>
        <v>0</v>
      </c>
    </row>
    <row r="358" spans="2:16" x14ac:dyDescent="0.45">
      <c r="B358">
        <f>B355</f>
        <v>4800</v>
      </c>
      <c r="C358" t="s">
        <v>278</v>
      </c>
      <c r="E358" s="5">
        <f>SUM(E356:E357)</f>
        <v>0</v>
      </c>
      <c r="F358" s="5">
        <f>SUM(F356:F357)</f>
        <v>6324.4</v>
      </c>
      <c r="G358" s="8">
        <f t="shared" si="130"/>
        <v>-6324.4</v>
      </c>
      <c r="H358" s="1" t="str">
        <f t="shared" si="135"/>
        <v/>
      </c>
      <c r="I358" s="5">
        <f>SUM(I356:I357)</f>
        <v>0</v>
      </c>
      <c r="J358" s="5">
        <f>SUM(J356:J357)</f>
        <v>0</v>
      </c>
      <c r="K358" s="9">
        <f t="shared" si="131"/>
        <v>0</v>
      </c>
      <c r="L358" s="1" t="str">
        <f t="shared" si="132"/>
        <v/>
      </c>
      <c r="M358" s="9">
        <f t="shared" si="133"/>
        <v>-6324.4</v>
      </c>
      <c r="N358" s="1">
        <f t="shared" si="134"/>
        <v>-1</v>
      </c>
      <c r="P358" s="5">
        <f>SUM(P356:P357)</f>
        <v>0</v>
      </c>
    </row>
    <row r="359" spans="2:16" x14ac:dyDescent="0.45">
      <c r="G359"/>
      <c r="H359" s="1"/>
      <c r="I359"/>
      <c r="J359"/>
      <c r="K359"/>
      <c r="L359"/>
      <c r="M359"/>
      <c r="N359"/>
    </row>
    <row r="360" spans="2:16" x14ac:dyDescent="0.45">
      <c r="B360">
        <v>4900</v>
      </c>
      <c r="C360" t="s">
        <v>279</v>
      </c>
      <c r="G360"/>
      <c r="H360" s="1"/>
      <c r="I360"/>
      <c r="J360"/>
      <c r="K360"/>
      <c r="L360"/>
      <c r="M360"/>
      <c r="N360"/>
    </row>
    <row r="361" spans="2:16" x14ac:dyDescent="0.45">
      <c r="B361">
        <v>4900</v>
      </c>
      <c r="C361" t="s">
        <v>280</v>
      </c>
      <c r="E361" s="5">
        <f>E285</f>
        <v>300</v>
      </c>
      <c r="F361" s="5">
        <f>F285</f>
        <v>273.54000000000002</v>
      </c>
      <c r="G361" s="8">
        <f t="shared" si="130"/>
        <v>26.45999999999998</v>
      </c>
      <c r="H361" s="1">
        <f t="shared" si="135"/>
        <v>0.91180000000000005</v>
      </c>
      <c r="I361" s="5">
        <f>I285</f>
        <v>300</v>
      </c>
      <c r="J361" s="5">
        <f>J285</f>
        <v>0</v>
      </c>
      <c r="K361" s="9">
        <f t="shared" si="131"/>
        <v>-300</v>
      </c>
      <c r="L361" s="1">
        <f t="shared" si="132"/>
        <v>-1</v>
      </c>
      <c r="M361" s="9">
        <f t="shared" si="133"/>
        <v>-273.54000000000002</v>
      </c>
      <c r="N361" s="1">
        <f t="shared" si="134"/>
        <v>-1</v>
      </c>
      <c r="P361" s="5">
        <f>P285</f>
        <v>300</v>
      </c>
    </row>
    <row r="362" spans="2:16" x14ac:dyDescent="0.45">
      <c r="B362">
        <f>B291</f>
        <v>4925</v>
      </c>
      <c r="C362" t="str">
        <f>C291</f>
        <v>Boat Slip Interest</v>
      </c>
      <c r="E362" s="5">
        <f>E291</f>
        <v>120</v>
      </c>
      <c r="F362" s="5">
        <f>F291</f>
        <v>113.2</v>
      </c>
      <c r="G362" s="8">
        <f t="shared" si="130"/>
        <v>6.7999999999999972</v>
      </c>
      <c r="H362" s="1">
        <f t="shared" si="135"/>
        <v>0.94333333333333336</v>
      </c>
      <c r="I362" s="5">
        <f>I291</f>
        <v>120</v>
      </c>
      <c r="J362" s="5">
        <f>J291</f>
        <v>120</v>
      </c>
      <c r="K362" s="9">
        <f t="shared" si="131"/>
        <v>0</v>
      </c>
      <c r="L362" s="1">
        <f t="shared" si="132"/>
        <v>0</v>
      </c>
      <c r="M362" s="9">
        <f t="shared" si="133"/>
        <v>6.7999999999999972</v>
      </c>
      <c r="N362" s="1">
        <f t="shared" si="134"/>
        <v>6.0070671378091849E-2</v>
      </c>
      <c r="P362" s="5">
        <f>P291</f>
        <v>120</v>
      </c>
    </row>
    <row r="363" spans="2:16" x14ac:dyDescent="0.45">
      <c r="B363">
        <f>B360</f>
        <v>4900</v>
      </c>
      <c r="C363" t="s">
        <v>281</v>
      </c>
      <c r="E363" s="5">
        <f>SUM(E361:E362)</f>
        <v>420</v>
      </c>
      <c r="F363" s="5">
        <f>SUM(F361:F362)</f>
        <v>386.74</v>
      </c>
      <c r="G363" s="8">
        <f t="shared" si="130"/>
        <v>33.259999999999991</v>
      </c>
      <c r="H363" s="1">
        <f t="shared" si="135"/>
        <v>0.92080952380952386</v>
      </c>
      <c r="I363" s="5">
        <f>SUM(I361:I362)</f>
        <v>420</v>
      </c>
      <c r="J363" s="5">
        <f>SUM(J361:J362)</f>
        <v>120</v>
      </c>
      <c r="K363" s="9">
        <f t="shared" si="131"/>
        <v>-300</v>
      </c>
      <c r="L363" s="1">
        <f t="shared" si="132"/>
        <v>-0.7142857142857143</v>
      </c>
      <c r="M363" s="9">
        <f t="shared" si="133"/>
        <v>-266.74</v>
      </c>
      <c r="N363" s="1">
        <f t="shared" si="134"/>
        <v>-0.68971401975487412</v>
      </c>
      <c r="P363" s="5">
        <f>SUM(P361:P362)</f>
        <v>420</v>
      </c>
    </row>
    <row r="364" spans="2:16" x14ac:dyDescent="0.45">
      <c r="H364" s="1"/>
      <c r="I364"/>
      <c r="J364"/>
      <c r="K364"/>
      <c r="L364"/>
      <c r="M364"/>
      <c r="N364"/>
    </row>
    <row r="365" spans="2:16" x14ac:dyDescent="0.45">
      <c r="C365" t="s">
        <v>328</v>
      </c>
      <c r="E365" s="5">
        <v>109968.36</v>
      </c>
      <c r="F365" s="5">
        <v>0</v>
      </c>
      <c r="G365" s="8">
        <f t="shared" si="130"/>
        <v>109968.36</v>
      </c>
      <c r="H365" s="1">
        <f t="shared" si="135"/>
        <v>0</v>
      </c>
      <c r="I365"/>
      <c r="J365"/>
      <c r="K365"/>
      <c r="L365"/>
      <c r="M365"/>
      <c r="N365"/>
    </row>
    <row r="366" spans="2:16" x14ac:dyDescent="0.45">
      <c r="G366"/>
      <c r="H366" s="1"/>
      <c r="I366"/>
      <c r="J366"/>
      <c r="K366"/>
      <c r="L366"/>
      <c r="M366"/>
      <c r="N366"/>
    </row>
    <row r="367" spans="2:16" x14ac:dyDescent="0.45">
      <c r="C367" t="s">
        <v>282</v>
      </c>
      <c r="E367" s="5">
        <f>E345+E349+E353+E358+E363+E365</f>
        <v>1179510.3600000001</v>
      </c>
      <c r="F367" s="5">
        <f>F345+F349+F353+F358+F363+F365</f>
        <v>1069584.6499999997</v>
      </c>
      <c r="G367" s="8">
        <f t="shared" si="130"/>
        <v>109925.71000000043</v>
      </c>
      <c r="H367" s="1">
        <f t="shared" si="135"/>
        <v>0.90680394702086342</v>
      </c>
      <c r="I367" s="5">
        <f>I345+I349+I353+I358+I363+I365</f>
        <v>1409450</v>
      </c>
      <c r="J367" s="5">
        <f>J345+J349+J353+J358+J363+J365</f>
        <v>1407748</v>
      </c>
      <c r="K367" s="9">
        <f t="shared" si="131"/>
        <v>228237.6399999999</v>
      </c>
      <c r="L367" s="1">
        <f t="shared" si="132"/>
        <v>0.19350202231373353</v>
      </c>
      <c r="M367" s="9">
        <f t="shared" si="133"/>
        <v>338163.35000000033</v>
      </c>
      <c r="N367" s="1">
        <f t="shared" si="134"/>
        <v>0.31616324149752939</v>
      </c>
      <c r="P367" s="5">
        <f>P345+P349+P353+P358+P363+P365</f>
        <v>1304742.9279800002</v>
      </c>
    </row>
    <row r="368" spans="2:16" x14ac:dyDescent="0.45">
      <c r="G368"/>
      <c r="H368" s="1"/>
      <c r="I368"/>
      <c r="J368"/>
      <c r="K368"/>
      <c r="L368"/>
      <c r="M368"/>
      <c r="N368"/>
    </row>
    <row r="369" spans="2:16" x14ac:dyDescent="0.45">
      <c r="C369" t="s">
        <v>283</v>
      </c>
      <c r="G369"/>
      <c r="H369" s="1"/>
      <c r="I369"/>
      <c r="J369"/>
      <c r="K369"/>
      <c r="L369"/>
      <c r="M369"/>
      <c r="N369"/>
    </row>
    <row r="370" spans="2:16" x14ac:dyDescent="0.45">
      <c r="G370"/>
      <c r="H370" s="1" t="str">
        <f t="shared" si="135"/>
        <v/>
      </c>
      <c r="I370"/>
      <c r="J370"/>
      <c r="K370"/>
      <c r="L370"/>
      <c r="M370"/>
      <c r="N370"/>
    </row>
    <row r="371" spans="2:16" x14ac:dyDescent="0.45">
      <c r="B371">
        <v>5000</v>
      </c>
      <c r="C371" t="s">
        <v>284</v>
      </c>
      <c r="G371"/>
      <c r="H371" s="1"/>
      <c r="I371"/>
      <c r="J371"/>
      <c r="K371"/>
      <c r="L371"/>
      <c r="M371"/>
      <c r="N371"/>
    </row>
    <row r="372" spans="2:16" x14ac:dyDescent="0.45">
      <c r="B372">
        <f>B13</f>
        <v>5015</v>
      </c>
      <c r="C372" t="s">
        <v>285</v>
      </c>
      <c r="E372" s="5">
        <f>E15</f>
        <v>300</v>
      </c>
      <c r="F372" s="5">
        <f>F15</f>
        <v>269.32</v>
      </c>
      <c r="G372" s="8">
        <f t="shared" si="130"/>
        <v>30.680000000000007</v>
      </c>
      <c r="H372" s="1">
        <f t="shared" si="135"/>
        <v>0.89773333333333327</v>
      </c>
      <c r="I372" s="5">
        <f>I15</f>
        <v>300</v>
      </c>
      <c r="J372" s="5">
        <f>J15</f>
        <v>300</v>
      </c>
      <c r="K372" s="9">
        <f t="shared" si="131"/>
        <v>0</v>
      </c>
      <c r="L372" s="1">
        <f t="shared" si="132"/>
        <v>0</v>
      </c>
      <c r="M372" s="9">
        <f t="shared" si="133"/>
        <v>30.680000000000007</v>
      </c>
      <c r="N372" s="1">
        <f t="shared" si="134"/>
        <v>0.11391653052131297</v>
      </c>
      <c r="P372" s="5">
        <f>P15</f>
        <v>282.786</v>
      </c>
    </row>
    <row r="373" spans="2:16" x14ac:dyDescent="0.45">
      <c r="B373">
        <f>B4</f>
        <v>5020</v>
      </c>
      <c r="C373" t="str">
        <f>C4</f>
        <v>Accounting / Administration</v>
      </c>
      <c r="E373" s="5">
        <f>E11</f>
        <v>6600</v>
      </c>
      <c r="F373" s="5">
        <f>F11</f>
        <v>11726.32</v>
      </c>
      <c r="G373" s="8">
        <f t="shared" si="130"/>
        <v>-5126.32</v>
      </c>
      <c r="H373" s="1">
        <f t="shared" si="135"/>
        <v>1.7767151515151516</v>
      </c>
      <c r="I373" s="5">
        <f>I11</f>
        <v>15106</v>
      </c>
      <c r="J373" s="5">
        <f>J11</f>
        <v>15106</v>
      </c>
      <c r="K373" s="9">
        <f t="shared" si="131"/>
        <v>8506</v>
      </c>
      <c r="L373" s="1">
        <f t="shared" si="132"/>
        <v>1.2887878787878788</v>
      </c>
      <c r="M373" s="9">
        <f t="shared" si="133"/>
        <v>3379.6800000000003</v>
      </c>
      <c r="N373" s="1">
        <f t="shared" si="134"/>
        <v>0.28821318197013218</v>
      </c>
      <c r="P373" s="5">
        <f>P11</f>
        <v>11726.32</v>
      </c>
    </row>
    <row r="374" spans="2:16" x14ac:dyDescent="0.45">
      <c r="B374">
        <f>B17</f>
        <v>5195</v>
      </c>
      <c r="C374" t="str">
        <f>C17</f>
        <v>Miscellaneous Expenses</v>
      </c>
      <c r="E374" s="5">
        <f>E19</f>
        <v>0</v>
      </c>
      <c r="F374" s="5">
        <f>F19</f>
        <v>262.5</v>
      </c>
      <c r="G374" s="8">
        <f t="shared" si="130"/>
        <v>-262.5</v>
      </c>
      <c r="H374" s="1" t="str">
        <f t="shared" si="135"/>
        <v/>
      </c>
      <c r="I374" s="5">
        <f>I19</f>
        <v>0</v>
      </c>
      <c r="J374" s="5">
        <f>J19</f>
        <v>0</v>
      </c>
      <c r="K374" s="9">
        <f t="shared" si="131"/>
        <v>0</v>
      </c>
      <c r="L374" s="1" t="str">
        <f t="shared" si="132"/>
        <v/>
      </c>
      <c r="M374" s="9">
        <f t="shared" si="133"/>
        <v>-262.5</v>
      </c>
      <c r="N374" s="1">
        <f t="shared" si="134"/>
        <v>-1</v>
      </c>
      <c r="P374" s="5">
        <f>P19</f>
        <v>500</v>
      </c>
    </row>
    <row r="375" spans="2:16" x14ac:dyDescent="0.45">
      <c r="B375">
        <f>B371</f>
        <v>5000</v>
      </c>
      <c r="C375" t="s">
        <v>287</v>
      </c>
      <c r="E375" s="5">
        <f>SUM(E372:E374)</f>
        <v>6900</v>
      </c>
      <c r="F375" s="5">
        <f>SUM(F372:F374)</f>
        <v>12258.14</v>
      </c>
      <c r="G375" s="8">
        <f t="shared" si="130"/>
        <v>-5358.1399999999994</v>
      </c>
      <c r="H375" s="1">
        <f t="shared" si="135"/>
        <v>1.7765420289855072</v>
      </c>
      <c r="I375" s="5">
        <f>SUM(I372:I374)</f>
        <v>15406</v>
      </c>
      <c r="J375" s="5">
        <f>SUM(J372:J374)</f>
        <v>15406</v>
      </c>
      <c r="K375" s="9">
        <f t="shared" si="131"/>
        <v>8506</v>
      </c>
      <c r="L375" s="1">
        <f t="shared" si="132"/>
        <v>1.2327536231884058</v>
      </c>
      <c r="M375" s="9">
        <f t="shared" si="133"/>
        <v>3147.8600000000006</v>
      </c>
      <c r="N375" s="1">
        <f t="shared" si="134"/>
        <v>0.25679752393103689</v>
      </c>
      <c r="P375" s="5">
        <f>SUM(P372:P374)</f>
        <v>12509.106</v>
      </c>
    </row>
    <row r="376" spans="2:16" x14ac:dyDescent="0.45">
      <c r="G376"/>
      <c r="H376" s="1"/>
      <c r="I376"/>
      <c r="J376"/>
      <c r="K376"/>
      <c r="L376"/>
      <c r="M376"/>
      <c r="N376"/>
    </row>
    <row r="377" spans="2:16" x14ac:dyDescent="0.45">
      <c r="B377">
        <v>5200</v>
      </c>
      <c r="C377" t="s">
        <v>289</v>
      </c>
      <c r="G377"/>
      <c r="H377" s="1"/>
      <c r="I377"/>
      <c r="J377"/>
      <c r="K377"/>
      <c r="L377"/>
      <c r="M377"/>
      <c r="N377"/>
    </row>
    <row r="378" spans="2:16" x14ac:dyDescent="0.45">
      <c r="B378">
        <f>B23</f>
        <v>5205</v>
      </c>
      <c r="C378" t="s">
        <v>290</v>
      </c>
      <c r="E378" s="5">
        <f>E23</f>
        <v>0</v>
      </c>
      <c r="F378" s="5">
        <f>F23</f>
        <v>1033.3900000000001</v>
      </c>
      <c r="G378" s="8">
        <f t="shared" si="130"/>
        <v>-1033.3900000000001</v>
      </c>
      <c r="H378" s="1" t="str">
        <f t="shared" si="135"/>
        <v/>
      </c>
      <c r="I378" s="5">
        <f>I23</f>
        <v>0</v>
      </c>
      <c r="J378" s="5">
        <f>J23</f>
        <v>0</v>
      </c>
      <c r="K378" s="9">
        <f t="shared" si="131"/>
        <v>0</v>
      </c>
      <c r="L378" s="1" t="str">
        <f t="shared" si="132"/>
        <v/>
      </c>
      <c r="M378" s="9">
        <f t="shared" si="133"/>
        <v>-1033.3900000000001</v>
      </c>
      <c r="N378" s="1">
        <f t="shared" si="134"/>
        <v>-1</v>
      </c>
      <c r="P378" s="5">
        <f>P23</f>
        <v>0</v>
      </c>
    </row>
    <row r="379" spans="2:16" x14ac:dyDescent="0.45">
      <c r="B379">
        <f>B24</f>
        <v>5210</v>
      </c>
      <c r="C379" t="s">
        <v>291</v>
      </c>
      <c r="E379" s="5">
        <f>E26</f>
        <v>2750</v>
      </c>
      <c r="F379" s="5">
        <f>F26</f>
        <v>3042.05</v>
      </c>
      <c r="G379" s="8">
        <f t="shared" si="130"/>
        <v>-292.05000000000018</v>
      </c>
      <c r="H379" s="1">
        <f t="shared" si="135"/>
        <v>1.1062000000000001</v>
      </c>
      <c r="I379" s="5">
        <f>I26</f>
        <v>2750</v>
      </c>
      <c r="J379" s="5">
        <f>J26</f>
        <v>3650</v>
      </c>
      <c r="K379" s="9">
        <f t="shared" si="131"/>
        <v>900</v>
      </c>
      <c r="L379" s="1">
        <f t="shared" si="132"/>
        <v>0.32727272727272727</v>
      </c>
      <c r="M379" s="9">
        <f t="shared" si="133"/>
        <v>607.94999999999982</v>
      </c>
      <c r="N379" s="1">
        <f t="shared" si="134"/>
        <v>0.19984878618037172</v>
      </c>
      <c r="P379" s="5">
        <f>P26</f>
        <v>3194.1525000000001</v>
      </c>
    </row>
    <row r="380" spans="2:16" x14ac:dyDescent="0.45">
      <c r="B380">
        <f>B377</f>
        <v>5200</v>
      </c>
      <c r="C380" t="s">
        <v>292</v>
      </c>
      <c r="E380" s="5">
        <f>SUM(E378:E379)</f>
        <v>2750</v>
      </c>
      <c r="F380" s="5">
        <f>SUM(F378:F379)</f>
        <v>4075.4400000000005</v>
      </c>
      <c r="G380" s="8">
        <f t="shared" si="130"/>
        <v>-1325.4400000000005</v>
      </c>
      <c r="H380" s="1">
        <f t="shared" si="135"/>
        <v>1.4819781818181821</v>
      </c>
      <c r="I380" s="5">
        <f>SUM(I378:I379)</f>
        <v>2750</v>
      </c>
      <c r="J380" s="5">
        <f>SUM(J378:J379)</f>
        <v>3650</v>
      </c>
      <c r="K380" s="9">
        <f t="shared" si="131"/>
        <v>900</v>
      </c>
      <c r="L380" s="1">
        <f t="shared" si="132"/>
        <v>0.32727272727272727</v>
      </c>
      <c r="M380" s="9">
        <f t="shared" si="133"/>
        <v>-425.44000000000051</v>
      </c>
      <c r="N380" s="1">
        <f t="shared" si="134"/>
        <v>-0.10439118230178838</v>
      </c>
      <c r="P380" s="5">
        <f>SUM(P378:P379)</f>
        <v>3194.1525000000001</v>
      </c>
    </row>
    <row r="381" spans="2:16" x14ac:dyDescent="0.45">
      <c r="G381"/>
      <c r="H381" s="1"/>
      <c r="I381"/>
      <c r="J381"/>
      <c r="K381"/>
      <c r="L381"/>
      <c r="M381"/>
      <c r="N381"/>
    </row>
    <row r="382" spans="2:16" x14ac:dyDescent="0.45">
      <c r="B382">
        <v>5300</v>
      </c>
      <c r="C382" t="s">
        <v>293</v>
      </c>
      <c r="G382"/>
      <c r="H382" s="1"/>
      <c r="I382"/>
      <c r="J382"/>
      <c r="K382"/>
      <c r="L382"/>
      <c r="M382"/>
      <c r="N382"/>
    </row>
    <row r="383" spans="2:16" x14ac:dyDescent="0.45">
      <c r="B383">
        <f>B30</f>
        <v>5300</v>
      </c>
      <c r="C383" t="s">
        <v>294</v>
      </c>
      <c r="E383" s="5">
        <f>E35</f>
        <v>195668</v>
      </c>
      <c r="F383" s="5">
        <f>F35</f>
        <v>197217.17</v>
      </c>
      <c r="G383" s="8">
        <f t="shared" si="130"/>
        <v>-1549.1700000000128</v>
      </c>
      <c r="H383" s="1">
        <f t="shared" si="135"/>
        <v>1.0079173395751988</v>
      </c>
      <c r="I383" s="5">
        <f>I35</f>
        <v>354491</v>
      </c>
      <c r="J383" s="5">
        <f>J35</f>
        <v>354491</v>
      </c>
      <c r="K383" s="9">
        <f t="shared" si="131"/>
        <v>158823</v>
      </c>
      <c r="L383" s="1">
        <f t="shared" si="132"/>
        <v>0.81169634278471692</v>
      </c>
      <c r="M383" s="9">
        <f t="shared" si="133"/>
        <v>157273.82999999999</v>
      </c>
      <c r="N383" s="1">
        <f t="shared" si="134"/>
        <v>0.79746520041840163</v>
      </c>
      <c r="P383" s="5">
        <f>P35</f>
        <v>236660.60399999999</v>
      </c>
    </row>
    <row r="384" spans="2:16" x14ac:dyDescent="0.45">
      <c r="B384">
        <f>B382</f>
        <v>5300</v>
      </c>
      <c r="C384" t="s">
        <v>295</v>
      </c>
      <c r="E384" s="5">
        <f>SUM(E383:E383)</f>
        <v>195668</v>
      </c>
      <c r="F384" s="5">
        <f>SUM(F383:F383)</f>
        <v>197217.17</v>
      </c>
      <c r="G384" s="8">
        <f t="shared" si="130"/>
        <v>-1549.1700000000128</v>
      </c>
      <c r="H384" s="1">
        <f t="shared" si="135"/>
        <v>1.0079173395751988</v>
      </c>
      <c r="I384" s="5">
        <f>SUM(I383:I383)</f>
        <v>354491</v>
      </c>
      <c r="J384" s="5">
        <f>SUM(J383:J383)</f>
        <v>354491</v>
      </c>
      <c r="K384" s="9">
        <f t="shared" si="131"/>
        <v>158823</v>
      </c>
      <c r="L384" s="1">
        <f t="shared" si="132"/>
        <v>0.81169634278471692</v>
      </c>
      <c r="M384" s="9">
        <f t="shared" si="133"/>
        <v>157273.82999999999</v>
      </c>
      <c r="N384" s="1">
        <f t="shared" si="134"/>
        <v>0.79746520041840163</v>
      </c>
      <c r="P384" s="5">
        <f>SUM(P383:P383)</f>
        <v>236660.60399999999</v>
      </c>
    </row>
    <row r="385" spans="2:16" x14ac:dyDescent="0.45">
      <c r="G385"/>
      <c r="H385" s="1"/>
      <c r="I385"/>
      <c r="J385"/>
      <c r="K385"/>
      <c r="L385"/>
      <c r="M385"/>
      <c r="N385"/>
    </row>
    <row r="386" spans="2:16" x14ac:dyDescent="0.45">
      <c r="B386">
        <v>5400</v>
      </c>
      <c r="C386" t="s">
        <v>62</v>
      </c>
      <c r="G386"/>
      <c r="H386" s="1"/>
      <c r="I386"/>
      <c r="J386"/>
      <c r="K386"/>
      <c r="L386"/>
      <c r="M386"/>
      <c r="N386"/>
    </row>
    <row r="387" spans="2:16" x14ac:dyDescent="0.45">
      <c r="B387">
        <f>B37</f>
        <v>5400</v>
      </c>
      <c r="C387" t="s">
        <v>296</v>
      </c>
      <c r="E387" s="5">
        <f>E42</f>
        <v>20513</v>
      </c>
      <c r="F387" s="5">
        <f>F42</f>
        <v>22143.61</v>
      </c>
      <c r="G387" s="8">
        <f t="shared" si="130"/>
        <v>-1630.6100000000006</v>
      </c>
      <c r="H387" s="1">
        <f t="shared" si="135"/>
        <v>1.0794915419490079</v>
      </c>
      <c r="I387" s="5">
        <f>I42</f>
        <v>23021</v>
      </c>
      <c r="J387" s="5">
        <f>J42</f>
        <v>25537</v>
      </c>
      <c r="K387" s="9">
        <f t="shared" si="131"/>
        <v>5024</v>
      </c>
      <c r="L387" s="1">
        <f t="shared" si="132"/>
        <v>0.24491785696875151</v>
      </c>
      <c r="M387" s="9">
        <f t="shared" si="133"/>
        <v>3393.3899999999994</v>
      </c>
      <c r="N387" s="1">
        <f t="shared" si="134"/>
        <v>0.15324466064927983</v>
      </c>
      <c r="P387" s="5">
        <f>P42</f>
        <v>25465.1515</v>
      </c>
    </row>
    <row r="388" spans="2:16" x14ac:dyDescent="0.45">
      <c r="B388">
        <f>B225</f>
        <v>5460</v>
      </c>
      <c r="C388" t="str">
        <f>C225</f>
        <v>Boat Slip Insurance</v>
      </c>
      <c r="E388" s="5">
        <f>E227</f>
        <v>17132</v>
      </c>
      <c r="F388" s="5">
        <f>F227</f>
        <v>18404.169999999998</v>
      </c>
      <c r="G388" s="8">
        <f t="shared" si="130"/>
        <v>-1272.1699999999983</v>
      </c>
      <c r="H388" s="1">
        <f t="shared" si="135"/>
        <v>1.0742569460658415</v>
      </c>
      <c r="I388" s="5">
        <f>I227</f>
        <v>17994</v>
      </c>
      <c r="J388" s="5">
        <f>J227</f>
        <v>20198</v>
      </c>
      <c r="K388" s="9">
        <f t="shared" si="131"/>
        <v>3066</v>
      </c>
      <c r="L388" s="1">
        <f t="shared" si="132"/>
        <v>0.17896334345085221</v>
      </c>
      <c r="M388" s="9">
        <f t="shared" si="133"/>
        <v>1793.8300000000017</v>
      </c>
      <c r="N388" s="1">
        <f t="shared" si="134"/>
        <v>9.7468671502165108E-2</v>
      </c>
      <c r="P388" s="5">
        <f>P227</f>
        <v>20244.587</v>
      </c>
    </row>
    <row r="389" spans="2:16" x14ac:dyDescent="0.45">
      <c r="B389">
        <f>B386</f>
        <v>5400</v>
      </c>
      <c r="C389" t="s">
        <v>297</v>
      </c>
      <c r="E389" s="5">
        <f>SUM(E387:E388)</f>
        <v>37645</v>
      </c>
      <c r="F389" s="5">
        <f>SUM(F387:F388)</f>
        <v>40547.78</v>
      </c>
      <c r="G389" s="8">
        <f t="shared" si="130"/>
        <v>-2902.7799999999988</v>
      </c>
      <c r="H389" s="1">
        <f t="shared" si="135"/>
        <v>1.077109310665427</v>
      </c>
      <c r="I389" s="5">
        <f>SUM(I387:I388)</f>
        <v>41015</v>
      </c>
      <c r="J389" s="5">
        <f>SUM(J387:J388)</f>
        <v>45735</v>
      </c>
      <c r="K389" s="9">
        <f t="shared" si="131"/>
        <v>8090</v>
      </c>
      <c r="L389" s="1">
        <f t="shared" si="132"/>
        <v>0.21490237747376809</v>
      </c>
      <c r="M389" s="9">
        <f t="shared" si="133"/>
        <v>5187.2200000000012</v>
      </c>
      <c r="N389" s="1">
        <f t="shared" si="134"/>
        <v>0.1279285820333444</v>
      </c>
      <c r="P389" s="5">
        <f>SUM(P387:P388)</f>
        <v>45709.738499999999</v>
      </c>
    </row>
    <row r="390" spans="2:16" x14ac:dyDescent="0.45">
      <c r="G390"/>
      <c r="H390" s="1"/>
      <c r="I390"/>
      <c r="J390"/>
      <c r="K390"/>
      <c r="L390"/>
      <c r="M390"/>
      <c r="N390"/>
    </row>
    <row r="391" spans="2:16" x14ac:dyDescent="0.45">
      <c r="B391">
        <v>6000</v>
      </c>
      <c r="C391" t="s">
        <v>298</v>
      </c>
      <c r="G391"/>
      <c r="H391" s="1"/>
      <c r="I391"/>
      <c r="J391"/>
      <c r="K391"/>
      <c r="L391"/>
      <c r="M391"/>
      <c r="N391"/>
    </row>
    <row r="392" spans="2:16" x14ac:dyDescent="0.45">
      <c r="B392">
        <f>B55</f>
        <v>6000</v>
      </c>
      <c r="C392" t="s">
        <v>299</v>
      </c>
      <c r="E392" s="5">
        <f>E59</f>
        <v>56000</v>
      </c>
      <c r="F392" s="5">
        <f>F59</f>
        <v>57727.05</v>
      </c>
      <c r="G392" s="8">
        <f t="shared" si="130"/>
        <v>-1727.0500000000029</v>
      </c>
      <c r="H392" s="1">
        <f t="shared" si="135"/>
        <v>1.0308401785714287</v>
      </c>
      <c r="I392" s="5">
        <f>I59</f>
        <v>57600</v>
      </c>
      <c r="J392" s="5">
        <f>J59</f>
        <v>57600</v>
      </c>
      <c r="K392" s="9">
        <f t="shared" si="131"/>
        <v>1600</v>
      </c>
      <c r="L392" s="1">
        <f t="shared" si="132"/>
        <v>2.8571428571428571E-2</v>
      </c>
      <c r="M392" s="9">
        <f t="shared" si="133"/>
        <v>-127.05000000000291</v>
      </c>
      <c r="N392" s="1">
        <f t="shared" si="134"/>
        <v>-2.2008746332958795E-3</v>
      </c>
      <c r="P392" s="5">
        <f>P59</f>
        <v>57600</v>
      </c>
    </row>
    <row r="393" spans="2:16" x14ac:dyDescent="0.45">
      <c r="B393">
        <f>B221</f>
        <v>6003</v>
      </c>
      <c r="C393" t="s">
        <v>182</v>
      </c>
      <c r="E393" s="5">
        <f>E223</f>
        <v>1370</v>
      </c>
      <c r="F393" s="5">
        <f>F223</f>
        <v>1151.3699999999999</v>
      </c>
      <c r="G393" s="8">
        <f t="shared" si="130"/>
        <v>218.63000000000011</v>
      </c>
      <c r="H393" s="1">
        <f t="shared" si="135"/>
        <v>0.84041605839416056</v>
      </c>
      <c r="I393" s="5">
        <f>I223</f>
        <v>1370</v>
      </c>
      <c r="J393" s="5">
        <f>J223</f>
        <v>1370</v>
      </c>
      <c r="K393" s="9">
        <f t="shared" si="131"/>
        <v>0</v>
      </c>
      <c r="L393" s="1">
        <f t="shared" si="132"/>
        <v>0</v>
      </c>
      <c r="M393" s="9">
        <f t="shared" si="133"/>
        <v>218.63000000000011</v>
      </c>
      <c r="N393" s="1">
        <f t="shared" si="134"/>
        <v>0.18988683047152535</v>
      </c>
      <c r="P393" s="5">
        <f>P223</f>
        <v>1370</v>
      </c>
    </row>
    <row r="394" spans="2:16" x14ac:dyDescent="0.45">
      <c r="B394">
        <f>B108</f>
        <v>6025</v>
      </c>
      <c r="C394" t="str">
        <f>C108</f>
        <v>Water &amp; Sewer Plant Management</v>
      </c>
      <c r="E394" s="5">
        <f>E110</f>
        <v>7200</v>
      </c>
      <c r="F394" s="5">
        <f>F110</f>
        <v>26467.35</v>
      </c>
      <c r="G394" s="8">
        <f t="shared" si="130"/>
        <v>-19267.349999999999</v>
      </c>
      <c r="H394" s="1">
        <f t="shared" si="135"/>
        <v>3.6760208333333333</v>
      </c>
      <c r="I394" s="5">
        <f>I110</f>
        <v>16929</v>
      </c>
      <c r="J394" s="5">
        <f>J110</f>
        <v>16929</v>
      </c>
      <c r="K394" s="9">
        <f t="shared" si="131"/>
        <v>9729</v>
      </c>
      <c r="L394" s="1">
        <f t="shared" si="132"/>
        <v>1.3512500000000001</v>
      </c>
      <c r="M394" s="9">
        <f t="shared" si="133"/>
        <v>-9538.3499999999985</v>
      </c>
      <c r="N394" s="1">
        <f t="shared" si="134"/>
        <v>-0.36038175336782863</v>
      </c>
      <c r="P394" s="5">
        <f>P110</f>
        <v>10000</v>
      </c>
    </row>
    <row r="395" spans="2:16" x14ac:dyDescent="0.45">
      <c r="B395">
        <f>B44</f>
        <v>6035</v>
      </c>
      <c r="C395" t="s">
        <v>300</v>
      </c>
      <c r="E395" s="5">
        <f>E49</f>
        <v>39884</v>
      </c>
      <c r="F395" s="5">
        <f>F49</f>
        <v>31061.74</v>
      </c>
      <c r="G395" s="8">
        <f t="shared" si="130"/>
        <v>8822.2599999999984</v>
      </c>
      <c r="H395" s="1">
        <f t="shared" si="135"/>
        <v>0.77880202587503766</v>
      </c>
      <c r="I395" s="5">
        <f>I49</f>
        <v>39884</v>
      </c>
      <c r="J395" s="5">
        <f>J49</f>
        <v>33585</v>
      </c>
      <c r="K395" s="9">
        <f t="shared" si="131"/>
        <v>-6299</v>
      </c>
      <c r="L395" s="1">
        <f t="shared" si="132"/>
        <v>-0.15793300571657809</v>
      </c>
      <c r="M395" s="9">
        <f t="shared" si="133"/>
        <v>2523.2599999999984</v>
      </c>
      <c r="N395" s="1">
        <f t="shared" si="134"/>
        <v>8.1233697790271842E-2</v>
      </c>
      <c r="P395" s="5">
        <f>P49</f>
        <v>40600</v>
      </c>
    </row>
    <row r="396" spans="2:16" x14ac:dyDescent="0.45">
      <c r="B396">
        <f>B71</f>
        <v>6050</v>
      </c>
      <c r="C396" t="str">
        <f>C71</f>
        <v>Phone &amp; Internet</v>
      </c>
      <c r="E396" s="5">
        <f>E75</f>
        <v>7800</v>
      </c>
      <c r="F396" s="5">
        <f>F75</f>
        <v>6277.09</v>
      </c>
      <c r="G396" s="8">
        <f t="shared" si="130"/>
        <v>1522.9099999999999</v>
      </c>
      <c r="H396" s="1">
        <f t="shared" si="135"/>
        <v>0.80475512820512818</v>
      </c>
      <c r="I396" s="5">
        <f>I75</f>
        <v>7800</v>
      </c>
      <c r="J396" s="5">
        <f>J75</f>
        <v>7800</v>
      </c>
      <c r="K396" s="9">
        <f t="shared" si="131"/>
        <v>0</v>
      </c>
      <c r="L396" s="1">
        <f t="shared" si="132"/>
        <v>0</v>
      </c>
      <c r="M396" s="9">
        <f t="shared" si="133"/>
        <v>1522.9099999999999</v>
      </c>
      <c r="N396" s="1">
        <f t="shared" si="134"/>
        <v>0.24261401381850503</v>
      </c>
      <c r="P396" s="5">
        <f>P75</f>
        <v>7200</v>
      </c>
    </row>
    <row r="397" spans="2:16" x14ac:dyDescent="0.45">
      <c r="B397">
        <f>B67</f>
        <v>6060</v>
      </c>
      <c r="C397" t="str">
        <f>C67</f>
        <v>Propane</v>
      </c>
      <c r="E397" s="5">
        <f>E69</f>
        <v>16938</v>
      </c>
      <c r="F397" s="5">
        <f>F69</f>
        <v>8520.94</v>
      </c>
      <c r="G397" s="8">
        <f t="shared" si="130"/>
        <v>8417.06</v>
      </c>
      <c r="H397" s="1">
        <f t="shared" si="135"/>
        <v>0.50306647774235447</v>
      </c>
      <c r="I397" s="5">
        <f>I69</f>
        <v>16938</v>
      </c>
      <c r="J397" s="5">
        <f>J69</f>
        <v>16938</v>
      </c>
      <c r="K397" s="9">
        <f t="shared" si="131"/>
        <v>0</v>
      </c>
      <c r="L397" s="1">
        <f t="shared" si="132"/>
        <v>0</v>
      </c>
      <c r="M397" s="9">
        <f t="shared" si="133"/>
        <v>8417.06</v>
      </c>
      <c r="N397" s="1">
        <f t="shared" si="134"/>
        <v>0.98780885676932351</v>
      </c>
      <c r="P397" s="5">
        <f>P69</f>
        <v>11077.222000000002</v>
      </c>
    </row>
    <row r="398" spans="2:16" x14ac:dyDescent="0.45">
      <c r="B398">
        <f>B51</f>
        <v>6080</v>
      </c>
      <c r="C398" t="str">
        <f>C51</f>
        <v>Garbage &amp; Recycling Compactor Lease</v>
      </c>
      <c r="E398" s="5">
        <f>E53</f>
        <v>13389</v>
      </c>
      <c r="F398" s="5">
        <f>F53</f>
        <v>16013.29</v>
      </c>
      <c r="G398" s="8">
        <f t="shared" si="130"/>
        <v>-2624.2900000000009</v>
      </c>
      <c r="H398" s="1">
        <f t="shared" si="135"/>
        <v>1.1960034356561358</v>
      </c>
      <c r="I398" s="5">
        <f>I53</f>
        <v>13389</v>
      </c>
      <c r="J398" s="5">
        <f>J53</f>
        <v>13389</v>
      </c>
      <c r="K398" s="9">
        <f t="shared" si="131"/>
        <v>0</v>
      </c>
      <c r="L398" s="1">
        <f t="shared" si="132"/>
        <v>0</v>
      </c>
      <c r="M398" s="9">
        <f t="shared" si="133"/>
        <v>-2624.2900000000009</v>
      </c>
      <c r="N398" s="1">
        <f t="shared" si="134"/>
        <v>-0.16388200051332366</v>
      </c>
      <c r="P398" s="5">
        <f>P53</f>
        <v>13389</v>
      </c>
    </row>
    <row r="399" spans="2:16" x14ac:dyDescent="0.45">
      <c r="B399">
        <f>B391</f>
        <v>6000</v>
      </c>
      <c r="C399" t="s">
        <v>301</v>
      </c>
      <c r="E399" s="5">
        <f>SUM(E392:E398)</f>
        <v>142581</v>
      </c>
      <c r="F399" s="5">
        <f>SUM(F392:F398)</f>
        <v>147218.83000000002</v>
      </c>
      <c r="G399" s="8">
        <f t="shared" si="130"/>
        <v>-4637.8300000000163</v>
      </c>
      <c r="H399" s="1">
        <f t="shared" si="135"/>
        <v>1.0325276860170711</v>
      </c>
      <c r="I399" s="5">
        <f>SUM(I392:I398)</f>
        <v>153910</v>
      </c>
      <c r="J399" s="5">
        <f>SUM(J392:J398)</f>
        <v>147611</v>
      </c>
      <c r="K399" s="9">
        <f t="shared" si="131"/>
        <v>5030</v>
      </c>
      <c r="L399" s="1">
        <f t="shared" si="132"/>
        <v>3.5278192746579139E-2</v>
      </c>
      <c r="M399" s="9">
        <f t="shared" si="133"/>
        <v>392.1699999999837</v>
      </c>
      <c r="N399" s="1">
        <f t="shared" si="134"/>
        <v>2.663857605715136E-3</v>
      </c>
      <c r="P399" s="5">
        <f>SUM(P392:P398)</f>
        <v>141236.22200000001</v>
      </c>
    </row>
    <row r="400" spans="2:16" x14ac:dyDescent="0.45">
      <c r="G400"/>
      <c r="H400" s="1"/>
      <c r="I400"/>
      <c r="J400"/>
      <c r="K400"/>
      <c r="L400"/>
      <c r="M400"/>
      <c r="N400"/>
    </row>
    <row r="401" spans="2:16" x14ac:dyDescent="0.45">
      <c r="B401">
        <v>6100</v>
      </c>
      <c r="C401" t="s">
        <v>96</v>
      </c>
      <c r="G401"/>
      <c r="H401" s="1"/>
      <c r="I401"/>
      <c r="J401"/>
      <c r="K401"/>
      <c r="L401"/>
      <c r="M401"/>
      <c r="N401"/>
    </row>
    <row r="402" spans="2:16" x14ac:dyDescent="0.45">
      <c r="B402">
        <f>B79</f>
        <v>6110</v>
      </c>
      <c r="C402" t="s">
        <v>310</v>
      </c>
      <c r="E402" s="5">
        <f>E94</f>
        <v>265947</v>
      </c>
      <c r="F402" s="5">
        <f>F94</f>
        <v>270802.86</v>
      </c>
      <c r="G402" s="8">
        <f t="shared" si="130"/>
        <v>-4855.859999999986</v>
      </c>
      <c r="H402" s="1">
        <f t="shared" si="135"/>
        <v>1.0182587508037315</v>
      </c>
      <c r="I402" s="5">
        <f>I94</f>
        <v>307040</v>
      </c>
      <c r="J402" s="5">
        <f>J94</f>
        <v>307040</v>
      </c>
      <c r="K402" s="9">
        <f t="shared" si="131"/>
        <v>41093</v>
      </c>
      <c r="L402" s="1">
        <f t="shared" si="132"/>
        <v>0.1545157493786356</v>
      </c>
      <c r="M402" s="9">
        <f t="shared" si="133"/>
        <v>36237.140000000014</v>
      </c>
      <c r="N402" s="1">
        <f t="shared" si="134"/>
        <v>0.1338137270780671</v>
      </c>
      <c r="P402" s="5">
        <f>P94</f>
        <v>297790</v>
      </c>
    </row>
    <row r="403" spans="2:16" x14ac:dyDescent="0.45">
      <c r="B403">
        <f>B401</f>
        <v>6100</v>
      </c>
      <c r="C403" t="s">
        <v>302</v>
      </c>
      <c r="E403" s="5">
        <f>SUM(E402:E402)</f>
        <v>265947</v>
      </c>
      <c r="F403" s="5">
        <f>SUM(F402:F402)</f>
        <v>270802.86</v>
      </c>
      <c r="G403" s="8">
        <f t="shared" si="130"/>
        <v>-4855.859999999986</v>
      </c>
      <c r="H403" s="1">
        <f t="shared" si="135"/>
        <v>1.0182587508037315</v>
      </c>
      <c r="I403" s="5">
        <f>SUM(I402:I402)</f>
        <v>307040</v>
      </c>
      <c r="J403" s="5">
        <f>SUM(J402:J402)</f>
        <v>307040</v>
      </c>
      <c r="K403" s="9">
        <f t="shared" si="131"/>
        <v>41093</v>
      </c>
      <c r="L403" s="1">
        <f t="shared" si="132"/>
        <v>0.1545157493786356</v>
      </c>
      <c r="M403" s="9">
        <f t="shared" si="133"/>
        <v>36237.140000000014</v>
      </c>
      <c r="N403" s="1">
        <f t="shared" si="134"/>
        <v>0.1338137270780671</v>
      </c>
      <c r="P403" s="5">
        <f>SUM(P402:P402)</f>
        <v>297790</v>
      </c>
    </row>
    <row r="404" spans="2:16" x14ac:dyDescent="0.45">
      <c r="G404"/>
      <c r="H404" s="1"/>
      <c r="I404"/>
      <c r="J404"/>
      <c r="K404"/>
      <c r="L404"/>
      <c r="M404"/>
      <c r="N404"/>
    </row>
    <row r="405" spans="2:16" x14ac:dyDescent="0.45">
      <c r="B405">
        <v>6300</v>
      </c>
      <c r="C405" t="s">
        <v>303</v>
      </c>
      <c r="G405"/>
      <c r="H405" s="1"/>
      <c r="I405"/>
      <c r="J405"/>
      <c r="K405"/>
      <c r="L405"/>
      <c r="M405"/>
      <c r="N405"/>
    </row>
    <row r="406" spans="2:16" x14ac:dyDescent="0.45">
      <c r="B406">
        <f>B229</f>
        <v>6303</v>
      </c>
      <c r="C406" t="str">
        <f>C229</f>
        <v>Boat Slip Taxes &amp; Lease</v>
      </c>
      <c r="E406" s="5">
        <f>E232</f>
        <v>9933</v>
      </c>
      <c r="F406" s="5">
        <f>F232</f>
        <v>3249.34</v>
      </c>
      <c r="G406" s="8">
        <f t="shared" si="130"/>
        <v>6683.66</v>
      </c>
      <c r="H406" s="1">
        <f t="shared" si="135"/>
        <v>0.32712574247457971</v>
      </c>
      <c r="I406" s="5">
        <f>I232</f>
        <v>8940</v>
      </c>
      <c r="J406" s="5">
        <f>J232</f>
        <v>8940</v>
      </c>
      <c r="K406" s="9">
        <f t="shared" si="131"/>
        <v>-993</v>
      </c>
      <c r="L406" s="1">
        <f t="shared" si="132"/>
        <v>-9.9969797644216249E-2</v>
      </c>
      <c r="M406" s="9">
        <f t="shared" si="133"/>
        <v>5690.66</v>
      </c>
      <c r="N406" s="1">
        <f t="shared" si="134"/>
        <v>1.7513279619861264</v>
      </c>
      <c r="P406" s="5">
        <f>P232</f>
        <v>8940</v>
      </c>
    </row>
    <row r="407" spans="2:16" x14ac:dyDescent="0.45">
      <c r="B407">
        <f>B238</f>
        <v>6330</v>
      </c>
      <c r="C407" t="s">
        <v>231</v>
      </c>
      <c r="E407" s="5">
        <f>E238</f>
        <v>0</v>
      </c>
      <c r="F407" s="5">
        <f>F238</f>
        <v>1152.43</v>
      </c>
      <c r="G407" s="8">
        <f t="shared" si="130"/>
        <v>-1152.43</v>
      </c>
      <c r="H407" s="1" t="str">
        <f t="shared" si="135"/>
        <v/>
      </c>
      <c r="I407" s="5">
        <f>I238</f>
        <v>0</v>
      </c>
      <c r="J407" s="5">
        <f>J238</f>
        <v>3297</v>
      </c>
      <c r="K407" s="9">
        <f t="shared" si="131"/>
        <v>3297</v>
      </c>
      <c r="L407" s="1" t="str">
        <f t="shared" si="132"/>
        <v/>
      </c>
      <c r="M407" s="9">
        <f t="shared" si="133"/>
        <v>2144.5699999999997</v>
      </c>
      <c r="N407" s="1">
        <f t="shared" si="134"/>
        <v>1.8609112917921258</v>
      </c>
      <c r="P407" s="5">
        <f>P238</f>
        <v>3297</v>
      </c>
    </row>
    <row r="408" spans="2:16" x14ac:dyDescent="0.45">
      <c r="B408">
        <f>B405</f>
        <v>6300</v>
      </c>
      <c r="C408" t="s">
        <v>304</v>
      </c>
      <c r="E408" s="5">
        <f>SUM(E406:E407)</f>
        <v>9933</v>
      </c>
      <c r="F408" s="5">
        <f>SUM(F406:F407)</f>
        <v>4401.7700000000004</v>
      </c>
      <c r="G408" s="8">
        <f t="shared" si="130"/>
        <v>5531.23</v>
      </c>
      <c r="H408" s="1">
        <f t="shared" si="135"/>
        <v>0.44314607872747414</v>
      </c>
      <c r="I408" s="5">
        <f>SUM(I406:I407)</f>
        <v>8940</v>
      </c>
      <c r="J408" s="5">
        <f>SUM(J406:J407)</f>
        <v>12237</v>
      </c>
      <c r="K408" s="9">
        <f t="shared" si="131"/>
        <v>2304</v>
      </c>
      <c r="L408" s="1">
        <f t="shared" si="132"/>
        <v>0.2319540924192087</v>
      </c>
      <c r="M408" s="9">
        <f t="shared" si="133"/>
        <v>7835.23</v>
      </c>
      <c r="N408" s="1">
        <f t="shared" si="134"/>
        <v>1.78001803819827</v>
      </c>
      <c r="P408" s="5">
        <f>SUM(P406:P407)</f>
        <v>12237</v>
      </c>
    </row>
    <row r="409" spans="2:16" x14ac:dyDescent="0.45">
      <c r="G409"/>
      <c r="H409" s="1"/>
      <c r="I409"/>
      <c r="J409"/>
      <c r="K409"/>
      <c r="L409"/>
      <c r="M409"/>
      <c r="N409"/>
    </row>
    <row r="410" spans="2:16" x14ac:dyDescent="0.45">
      <c r="B410">
        <v>6400</v>
      </c>
      <c r="C410" t="s">
        <v>305</v>
      </c>
      <c r="G410"/>
      <c r="H410" s="1"/>
      <c r="I410"/>
      <c r="J410"/>
      <c r="K410"/>
      <c r="L410"/>
      <c r="M410"/>
      <c r="N410"/>
    </row>
    <row r="411" spans="2:16" x14ac:dyDescent="0.45">
      <c r="B411">
        <f>B112</f>
        <v>6419</v>
      </c>
      <c r="C411" t="str">
        <f>C112</f>
        <v>Water &amp; Sewer Plant R&amp;M</v>
      </c>
      <c r="E411" s="5">
        <f>E134</f>
        <v>179682</v>
      </c>
      <c r="F411" s="5">
        <f>F134</f>
        <v>229449.53</v>
      </c>
      <c r="G411" s="8">
        <f t="shared" ref="G411:G457" si="136">E411-F411</f>
        <v>-49767.53</v>
      </c>
      <c r="H411" s="1">
        <f t="shared" si="135"/>
        <v>1.2769756013401454</v>
      </c>
      <c r="I411" s="5">
        <f>I134</f>
        <v>219380</v>
      </c>
      <c r="J411" s="5">
        <f>J134</f>
        <v>212314</v>
      </c>
      <c r="K411" s="9">
        <f t="shared" ref="K411:K457" si="137">J411-E411</f>
        <v>32632</v>
      </c>
      <c r="L411" s="1">
        <f t="shared" ref="L411:L457" si="138">IF(E411&lt;&gt;0,K411/E411,"")</f>
        <v>0.18160973275008069</v>
      </c>
      <c r="M411" s="9">
        <f t="shared" ref="M411:M457" si="139">J411-F411</f>
        <v>-17135.53</v>
      </c>
      <c r="N411" s="1">
        <f t="shared" ref="N411:N457" si="140">IF(F411&lt;&gt;0,M411/F411,"")</f>
        <v>-7.468104205748427E-2</v>
      </c>
      <c r="P411" s="5">
        <f>P134</f>
        <v>200880</v>
      </c>
    </row>
    <row r="412" spans="2:16" x14ac:dyDescent="0.45">
      <c r="B412">
        <f>B98</f>
        <v>6430</v>
      </c>
      <c r="C412" t="s">
        <v>307</v>
      </c>
      <c r="E412" s="5">
        <f>E100</f>
        <v>3400</v>
      </c>
      <c r="F412" s="5">
        <f>F100</f>
        <v>2489.42</v>
      </c>
      <c r="G412" s="8">
        <f t="shared" si="136"/>
        <v>910.57999999999993</v>
      </c>
      <c r="H412" s="1">
        <f t="shared" si="135"/>
        <v>0.73218235294117651</v>
      </c>
      <c r="I412" s="5">
        <f>I100</f>
        <v>3400</v>
      </c>
      <c r="J412" s="5">
        <f>J100</f>
        <v>3400</v>
      </c>
      <c r="K412" s="9">
        <f t="shared" si="137"/>
        <v>0</v>
      </c>
      <c r="L412" s="1">
        <f t="shared" si="138"/>
        <v>0</v>
      </c>
      <c r="M412" s="9">
        <f t="shared" si="139"/>
        <v>910.57999999999993</v>
      </c>
      <c r="N412" s="1">
        <f t="shared" si="140"/>
        <v>0.3657799808790802</v>
      </c>
      <c r="P412" s="5">
        <f>P100</f>
        <v>3236.2460000000001</v>
      </c>
    </row>
    <row r="413" spans="2:16" x14ac:dyDescent="0.45">
      <c r="B413">
        <f>B102</f>
        <v>6440</v>
      </c>
      <c r="C413" t="str">
        <f>C102</f>
        <v>Security</v>
      </c>
      <c r="E413" s="5">
        <f>E106</f>
        <v>26500</v>
      </c>
      <c r="F413" s="5">
        <f>F106</f>
        <v>13829.95</v>
      </c>
      <c r="G413" s="8">
        <f t="shared" si="136"/>
        <v>12670.05</v>
      </c>
      <c r="H413" s="1">
        <f t="shared" ref="H413:H455" si="141">IF(E413&lt;&gt;0,F413/E413,"")</f>
        <v>0.52188490566037737</v>
      </c>
      <c r="I413" s="5">
        <f>I106</f>
        <v>26500</v>
      </c>
      <c r="J413" s="5">
        <f>J106</f>
        <v>26500</v>
      </c>
      <c r="K413" s="9">
        <f t="shared" si="137"/>
        <v>0</v>
      </c>
      <c r="L413" s="1">
        <f t="shared" si="138"/>
        <v>0</v>
      </c>
      <c r="M413" s="9">
        <f t="shared" si="139"/>
        <v>12670.05</v>
      </c>
      <c r="N413" s="1">
        <f t="shared" si="140"/>
        <v>0.91613129476245381</v>
      </c>
      <c r="P413" s="5">
        <f>P106</f>
        <v>12000</v>
      </c>
    </row>
    <row r="414" spans="2:16" x14ac:dyDescent="0.45">
      <c r="B414">
        <f>B61</f>
        <v>6444</v>
      </c>
      <c r="C414" t="str">
        <f>C61</f>
        <v>Water &amp; Sewer Plant Chemicals</v>
      </c>
      <c r="E414" s="5">
        <f>E65</f>
        <v>14400</v>
      </c>
      <c r="F414" s="5">
        <f>F65</f>
        <v>17375.73</v>
      </c>
      <c r="G414" s="8">
        <f t="shared" si="136"/>
        <v>-2975.7299999999996</v>
      </c>
      <c r="H414" s="1">
        <f t="shared" si="141"/>
        <v>1.2066479166666666</v>
      </c>
      <c r="I414" s="5">
        <f>I65</f>
        <v>16800</v>
      </c>
      <c r="J414" s="5">
        <f>J65</f>
        <v>16800</v>
      </c>
      <c r="K414" s="9">
        <f t="shared" si="137"/>
        <v>2400</v>
      </c>
      <c r="L414" s="1">
        <f t="shared" si="138"/>
        <v>0.16666666666666666</v>
      </c>
      <c r="M414" s="9">
        <f t="shared" si="139"/>
        <v>-575.72999999999956</v>
      </c>
      <c r="N414" s="1">
        <f t="shared" si="140"/>
        <v>-3.3134147457401765E-2</v>
      </c>
      <c r="P414" s="5">
        <f>P65</f>
        <v>16800</v>
      </c>
    </row>
    <row r="415" spans="2:16" x14ac:dyDescent="0.45">
      <c r="B415">
        <f>B163</f>
        <v>6495</v>
      </c>
      <c r="C415" t="str">
        <f>C163</f>
        <v>Freight</v>
      </c>
      <c r="E415" s="5">
        <f>E166</f>
        <v>0</v>
      </c>
      <c r="F415" s="5">
        <f>F166</f>
        <v>0</v>
      </c>
      <c r="G415" s="8">
        <f t="shared" si="136"/>
        <v>0</v>
      </c>
      <c r="H415" s="1" t="str">
        <f t="shared" si="141"/>
        <v/>
      </c>
      <c r="I415" s="5">
        <f>I166</f>
        <v>3900</v>
      </c>
      <c r="J415" s="5">
        <f>J166</f>
        <v>3900</v>
      </c>
      <c r="K415" s="9">
        <f t="shared" si="137"/>
        <v>3900</v>
      </c>
      <c r="L415" s="1" t="str">
        <f t="shared" si="138"/>
        <v/>
      </c>
      <c r="M415" s="9">
        <f t="shared" si="139"/>
        <v>3900</v>
      </c>
      <c r="N415" s="1" t="str">
        <f t="shared" si="140"/>
        <v/>
      </c>
      <c r="P415" s="5">
        <f>P166</f>
        <v>3900</v>
      </c>
    </row>
    <row r="416" spans="2:16" x14ac:dyDescent="0.45">
      <c r="B416">
        <f>B410</f>
        <v>6400</v>
      </c>
      <c r="C416" t="s">
        <v>306</v>
      </c>
      <c r="E416" s="5">
        <f>SUM(E411:E415)</f>
        <v>223982</v>
      </c>
      <c r="F416" s="5">
        <f>SUM(F411:F415)</f>
        <v>263144.63</v>
      </c>
      <c r="G416" s="8">
        <f t="shared" si="136"/>
        <v>-39162.630000000005</v>
      </c>
      <c r="H416" s="1">
        <f t="shared" si="141"/>
        <v>1.1748472198658821</v>
      </c>
      <c r="I416" s="5">
        <f>SUM(I411:I415)</f>
        <v>269980</v>
      </c>
      <c r="J416" s="5">
        <f>SUM(J411:J415)</f>
        <v>262914</v>
      </c>
      <c r="K416" s="9">
        <f t="shared" si="137"/>
        <v>38932</v>
      </c>
      <c r="L416" s="1">
        <f t="shared" si="138"/>
        <v>0.17381753890937665</v>
      </c>
      <c r="M416" s="9">
        <f t="shared" si="139"/>
        <v>-230.63000000000466</v>
      </c>
      <c r="N416" s="1">
        <f t="shared" si="140"/>
        <v>-8.7643817774280496E-4</v>
      </c>
      <c r="P416" s="5">
        <f>SUM(P411:P415)</f>
        <v>236816.24600000001</v>
      </c>
    </row>
    <row r="417" spans="2:16" x14ac:dyDescent="0.45">
      <c r="G417"/>
      <c r="H417" s="1"/>
      <c r="I417"/>
      <c r="J417"/>
      <c r="K417"/>
      <c r="L417"/>
      <c r="M417"/>
      <c r="N417"/>
    </row>
    <row r="418" spans="2:16" x14ac:dyDescent="0.45">
      <c r="B418">
        <v>6500</v>
      </c>
      <c r="C418" t="s">
        <v>308</v>
      </c>
      <c r="G418"/>
      <c r="H418" s="1"/>
      <c r="I418"/>
      <c r="J418"/>
      <c r="K418"/>
      <c r="L418"/>
      <c r="M418"/>
      <c r="N418"/>
    </row>
    <row r="419" spans="2:16" x14ac:dyDescent="0.45">
      <c r="B419">
        <f>B180</f>
        <v>6505</v>
      </c>
      <c r="C419" t="str">
        <f>C180</f>
        <v>Swim Dock &amp; Rec Area R&amp;M</v>
      </c>
      <c r="E419" s="5">
        <f>E185</f>
        <v>5500</v>
      </c>
      <c r="F419" s="5">
        <f>F185</f>
        <v>10977.86</v>
      </c>
      <c r="G419" s="8">
        <f t="shared" si="136"/>
        <v>-5477.8600000000006</v>
      </c>
      <c r="H419" s="1">
        <f t="shared" si="141"/>
        <v>1.9959745454545457</v>
      </c>
      <c r="I419" s="5">
        <f>I185</f>
        <v>5300</v>
      </c>
      <c r="J419" s="5">
        <f>J185</f>
        <v>5300</v>
      </c>
      <c r="K419" s="9">
        <f t="shared" si="137"/>
        <v>-200</v>
      </c>
      <c r="L419" s="1">
        <f t="shared" si="138"/>
        <v>-3.6363636363636362E-2</v>
      </c>
      <c r="M419" s="9">
        <f t="shared" si="139"/>
        <v>-5677.8600000000006</v>
      </c>
      <c r="N419" s="1">
        <f t="shared" si="140"/>
        <v>-0.51721009377055271</v>
      </c>
      <c r="P419" s="5">
        <f>P185</f>
        <v>5000</v>
      </c>
    </row>
    <row r="420" spans="2:16" x14ac:dyDescent="0.45">
      <c r="B420">
        <f>B139</f>
        <v>6525</v>
      </c>
      <c r="C420" t="str">
        <f>C139</f>
        <v>Clubhouse R&amp;M</v>
      </c>
      <c r="E420" s="5">
        <f>E144</f>
        <v>9600</v>
      </c>
      <c r="F420" s="5">
        <f>F144</f>
        <v>3495.4</v>
      </c>
      <c r="G420" s="8">
        <f t="shared" si="136"/>
        <v>6104.6</v>
      </c>
      <c r="H420" s="1">
        <f t="shared" si="141"/>
        <v>0.36410416666666667</v>
      </c>
      <c r="I420" s="5">
        <f>I144</f>
        <v>30288</v>
      </c>
      <c r="J420" s="5">
        <f>J144</f>
        <v>30288</v>
      </c>
      <c r="K420" s="9">
        <f t="shared" si="137"/>
        <v>20688</v>
      </c>
      <c r="L420" s="1">
        <f t="shared" si="138"/>
        <v>2.1549999999999998</v>
      </c>
      <c r="M420" s="9">
        <f t="shared" si="139"/>
        <v>26792.6</v>
      </c>
      <c r="N420" s="1">
        <f t="shared" si="140"/>
        <v>7.6651027064141433</v>
      </c>
      <c r="P420" s="5">
        <f>P144</f>
        <v>13700</v>
      </c>
    </row>
    <row r="421" spans="2:16" x14ac:dyDescent="0.45">
      <c r="B421">
        <f>B150</f>
        <v>6600</v>
      </c>
      <c r="C421" t="str">
        <f>C150</f>
        <v>General Repairs &amp; Maintenance</v>
      </c>
      <c r="E421" s="5">
        <f>E156</f>
        <v>12000</v>
      </c>
      <c r="F421" s="5">
        <f>F156</f>
        <v>30119.95</v>
      </c>
      <c r="G421" s="8">
        <f t="shared" si="136"/>
        <v>-18119.95</v>
      </c>
      <c r="H421" s="1">
        <f t="shared" si="141"/>
        <v>2.5099958333333334</v>
      </c>
      <c r="I421" s="5">
        <f>I156</f>
        <v>24748</v>
      </c>
      <c r="J421" s="5">
        <f>J156</f>
        <v>24748</v>
      </c>
      <c r="K421" s="9">
        <f t="shared" si="137"/>
        <v>12748</v>
      </c>
      <c r="L421" s="1">
        <f t="shared" si="138"/>
        <v>1.0623333333333334</v>
      </c>
      <c r="M421" s="9">
        <f t="shared" si="139"/>
        <v>-5371.9500000000007</v>
      </c>
      <c r="N421" s="1">
        <f t="shared" si="140"/>
        <v>-0.17835188969437202</v>
      </c>
      <c r="P421" s="5">
        <f>P156</f>
        <v>18748</v>
      </c>
    </row>
    <row r="422" spans="2:16" x14ac:dyDescent="0.45">
      <c r="B422">
        <f>B146</f>
        <v>6630</v>
      </c>
      <c r="C422" t="str">
        <f>C146</f>
        <v>Hydrant Testing</v>
      </c>
      <c r="E422" s="5">
        <f>E148</f>
        <v>300</v>
      </c>
      <c r="F422" s="5">
        <f>F148</f>
        <v>493</v>
      </c>
      <c r="G422" s="8">
        <f t="shared" si="136"/>
        <v>-193</v>
      </c>
      <c r="H422" s="1">
        <f t="shared" si="141"/>
        <v>1.6433333333333333</v>
      </c>
      <c r="I422" s="5">
        <f>I148</f>
        <v>500</v>
      </c>
      <c r="J422" s="5">
        <f>J148</f>
        <v>500</v>
      </c>
      <c r="K422" s="9">
        <f t="shared" si="137"/>
        <v>200</v>
      </c>
      <c r="L422" s="1">
        <f t="shared" si="138"/>
        <v>0.66666666666666663</v>
      </c>
      <c r="M422" s="9">
        <f t="shared" si="139"/>
        <v>7</v>
      </c>
      <c r="N422" s="1">
        <f t="shared" si="140"/>
        <v>1.4198782961460446E-2</v>
      </c>
      <c r="P422" s="5">
        <f>P148</f>
        <v>517.65</v>
      </c>
    </row>
    <row r="423" spans="2:16" x14ac:dyDescent="0.45">
      <c r="B423">
        <f>B234</f>
        <v>6660</v>
      </c>
      <c r="C423" t="str">
        <f>C234</f>
        <v>Boat Slip Fund Allocation</v>
      </c>
      <c r="E423" s="5">
        <f>E234</f>
        <v>4105</v>
      </c>
      <c r="F423" s="5">
        <f>F234</f>
        <v>10157.07</v>
      </c>
      <c r="G423" s="8">
        <f t="shared" si="136"/>
        <v>-6052.07</v>
      </c>
      <c r="H423" s="1">
        <f t="shared" si="141"/>
        <v>2.4743166869671134</v>
      </c>
      <c r="I423" s="5">
        <f>I234</f>
        <v>2868</v>
      </c>
      <c r="J423" s="5">
        <f>J234</f>
        <v>664</v>
      </c>
      <c r="K423" s="9">
        <f t="shared" si="137"/>
        <v>-3441</v>
      </c>
      <c r="L423" s="1">
        <f t="shared" si="138"/>
        <v>-0.83824604141291104</v>
      </c>
      <c r="M423" s="9">
        <f t="shared" si="139"/>
        <v>-9493.07</v>
      </c>
      <c r="N423" s="1">
        <f t="shared" si="140"/>
        <v>-0.9346268165917927</v>
      </c>
      <c r="P423" s="5">
        <f>P234</f>
        <v>664</v>
      </c>
    </row>
    <row r="424" spans="2:16" x14ac:dyDescent="0.45">
      <c r="B424">
        <f>B209</f>
        <v>6685</v>
      </c>
      <c r="C424" t="str">
        <f>C209</f>
        <v>Boat Slip Maintenance</v>
      </c>
      <c r="E424" s="5">
        <f>E219</f>
        <v>7780</v>
      </c>
      <c r="F424" s="5">
        <f>F219</f>
        <v>7471.25</v>
      </c>
      <c r="G424" s="8">
        <f t="shared" si="136"/>
        <v>308.75</v>
      </c>
      <c r="H424" s="1">
        <f t="shared" si="141"/>
        <v>0.9603149100257069</v>
      </c>
      <c r="I424" s="5">
        <f>I219</f>
        <v>9269</v>
      </c>
      <c r="J424" s="5">
        <f>J219</f>
        <v>9269</v>
      </c>
      <c r="K424" s="9">
        <f t="shared" si="137"/>
        <v>1489</v>
      </c>
      <c r="L424" s="1">
        <f t="shared" si="138"/>
        <v>0.19138817480719794</v>
      </c>
      <c r="M424" s="9">
        <f t="shared" si="139"/>
        <v>1797.75</v>
      </c>
      <c r="N424" s="1">
        <f t="shared" si="140"/>
        <v>0.2406223858122804</v>
      </c>
      <c r="P424" s="5">
        <f>P219</f>
        <v>9269</v>
      </c>
    </row>
    <row r="425" spans="2:16" x14ac:dyDescent="0.45">
      <c r="B425">
        <f>B172</f>
        <v>6700</v>
      </c>
      <c r="C425" t="str">
        <f>C172</f>
        <v>Pool/Hot Tub - R&amp;M</v>
      </c>
      <c r="E425" s="5">
        <f>E178</f>
        <v>10810</v>
      </c>
      <c r="F425" s="5">
        <f>F178</f>
        <v>18142.990000000002</v>
      </c>
      <c r="G425" s="8">
        <f t="shared" si="136"/>
        <v>-7332.9900000000016</v>
      </c>
      <c r="H425" s="1">
        <f t="shared" si="141"/>
        <v>1.6783524514338577</v>
      </c>
      <c r="I425" s="5">
        <f>I178</f>
        <v>14460</v>
      </c>
      <c r="J425" s="5">
        <f>J178</f>
        <v>14460</v>
      </c>
      <c r="K425" s="9">
        <f t="shared" si="137"/>
        <v>3650</v>
      </c>
      <c r="L425" s="1">
        <f t="shared" si="138"/>
        <v>0.33765032377428306</v>
      </c>
      <c r="M425" s="9">
        <f t="shared" si="139"/>
        <v>-3682.9900000000016</v>
      </c>
      <c r="N425" s="1">
        <f t="shared" si="140"/>
        <v>-0.2029979622983864</v>
      </c>
      <c r="P425" s="5">
        <f>P178</f>
        <v>11460</v>
      </c>
    </row>
    <row r="426" spans="2:16" x14ac:dyDescent="0.45">
      <c r="B426">
        <f>B168</f>
        <v>6702</v>
      </c>
      <c r="C426" t="str">
        <f>C168</f>
        <v>Pool/Hot Tub - Supplies</v>
      </c>
      <c r="E426" s="5">
        <f>E170</f>
        <v>8100</v>
      </c>
      <c r="F426" s="5">
        <f>F170</f>
        <v>13216.45</v>
      </c>
      <c r="G426" s="8">
        <f t="shared" si="136"/>
        <v>-5116.4500000000007</v>
      </c>
      <c r="H426" s="1">
        <f t="shared" si="141"/>
        <v>1.6316604938271606</v>
      </c>
      <c r="I426" s="5">
        <f>I170</f>
        <v>8100</v>
      </c>
      <c r="J426" s="5">
        <f>J170</f>
        <v>16400</v>
      </c>
      <c r="K426" s="9">
        <f t="shared" si="137"/>
        <v>8300</v>
      </c>
      <c r="L426" s="1">
        <f t="shared" si="138"/>
        <v>1.0246913580246915</v>
      </c>
      <c r="M426" s="9">
        <f t="shared" si="139"/>
        <v>3183.5499999999993</v>
      </c>
      <c r="N426" s="1">
        <f t="shared" si="140"/>
        <v>0.24087784541234591</v>
      </c>
      <c r="P426" s="5">
        <f>P170</f>
        <v>17181.385000000002</v>
      </c>
    </row>
    <row r="427" spans="2:16" x14ac:dyDescent="0.45">
      <c r="B427" s="18">
        <f>B158</f>
        <v>6750</v>
      </c>
      <c r="C427" s="6" t="str">
        <f>C158</f>
        <v>Snow Removal</v>
      </c>
      <c r="E427" s="5">
        <f>E161</f>
        <v>11200</v>
      </c>
      <c r="F427" s="5">
        <f>F161</f>
        <v>2806.42</v>
      </c>
      <c r="G427" s="8">
        <f t="shared" si="136"/>
        <v>8393.58</v>
      </c>
      <c r="H427" s="1">
        <f t="shared" si="141"/>
        <v>0.25057321428571427</v>
      </c>
      <c r="I427" s="5">
        <f>I161</f>
        <v>1400</v>
      </c>
      <c r="J427" s="5">
        <f>J161</f>
        <v>1400</v>
      </c>
      <c r="K427" s="9">
        <f t="shared" si="137"/>
        <v>-9800</v>
      </c>
      <c r="L427" s="1">
        <f t="shared" si="138"/>
        <v>-0.875</v>
      </c>
      <c r="M427" s="9">
        <f t="shared" si="139"/>
        <v>-1406.42</v>
      </c>
      <c r="N427" s="1">
        <f t="shared" si="140"/>
        <v>-0.5011438059876997</v>
      </c>
      <c r="P427" s="5">
        <f>P161</f>
        <v>3000</v>
      </c>
    </row>
    <row r="428" spans="2:16" x14ac:dyDescent="0.45">
      <c r="B428">
        <f>B187</f>
        <v>6794</v>
      </c>
      <c r="C428" t="str">
        <f>C187</f>
        <v>Improvements</v>
      </c>
      <c r="E428">
        <f>E187</f>
        <v>0</v>
      </c>
      <c r="F428">
        <f>F187</f>
        <v>98.7</v>
      </c>
      <c r="G428" s="8">
        <f t="shared" si="136"/>
        <v>-98.7</v>
      </c>
      <c r="H428" s="1" t="str">
        <f t="shared" si="141"/>
        <v/>
      </c>
      <c r="I428">
        <f>I187</f>
        <v>0</v>
      </c>
      <c r="J428">
        <f>J187</f>
        <v>0</v>
      </c>
      <c r="K428" s="9">
        <f t="shared" si="137"/>
        <v>0</v>
      </c>
      <c r="L428" s="1" t="str">
        <f t="shared" si="138"/>
        <v/>
      </c>
      <c r="M428" s="9">
        <f t="shared" si="139"/>
        <v>-98.7</v>
      </c>
      <c r="N428" s="1">
        <f t="shared" si="140"/>
        <v>-1</v>
      </c>
      <c r="P428">
        <f>P187</f>
        <v>0</v>
      </c>
    </row>
    <row r="429" spans="2:16" x14ac:dyDescent="0.45">
      <c r="B429">
        <v>6500</v>
      </c>
      <c r="C429" t="s">
        <v>309</v>
      </c>
      <c r="E429" s="5">
        <f>SUM(E419:E428)</f>
        <v>69395</v>
      </c>
      <c r="F429" s="5">
        <f>SUM(F419:F428)</f>
        <v>96979.09</v>
      </c>
      <c r="G429" s="8">
        <f t="shared" si="136"/>
        <v>-27584.089999999997</v>
      </c>
      <c r="H429" s="1">
        <f t="shared" si="141"/>
        <v>1.3974939116651055</v>
      </c>
      <c r="I429" s="5">
        <f>SUM(I419:I428)</f>
        <v>96933</v>
      </c>
      <c r="J429" s="5">
        <f>SUM(J419:J428)</f>
        <v>103029</v>
      </c>
      <c r="K429" s="9">
        <f t="shared" si="137"/>
        <v>33634</v>
      </c>
      <c r="L429" s="1">
        <f t="shared" si="138"/>
        <v>0.48467468837812522</v>
      </c>
      <c r="M429" s="9">
        <f t="shared" si="139"/>
        <v>6049.9100000000035</v>
      </c>
      <c r="N429" s="1">
        <f t="shared" si="140"/>
        <v>6.2383654043361346E-2</v>
      </c>
      <c r="P429" s="5">
        <f>SUM(P419:P428)</f>
        <v>79540.035000000003</v>
      </c>
    </row>
    <row r="430" spans="2:16" x14ac:dyDescent="0.45">
      <c r="G430"/>
      <c r="H430" s="1"/>
      <c r="I430"/>
      <c r="J430"/>
      <c r="K430"/>
      <c r="L430"/>
      <c r="M430"/>
      <c r="N430"/>
    </row>
    <row r="431" spans="2:16" x14ac:dyDescent="0.45">
      <c r="B431">
        <v>7000</v>
      </c>
      <c r="C431" t="s">
        <v>312</v>
      </c>
      <c r="G431"/>
      <c r="H431" s="1"/>
      <c r="I431"/>
      <c r="J431"/>
      <c r="K431"/>
      <c r="L431"/>
      <c r="M431"/>
      <c r="N431"/>
    </row>
    <row r="432" spans="2:16" x14ac:dyDescent="0.45">
      <c r="B432">
        <f>B192</f>
        <v>7020</v>
      </c>
      <c r="C432" t="s">
        <v>313</v>
      </c>
      <c r="E432" s="5">
        <f>E194</f>
        <v>0</v>
      </c>
      <c r="F432" s="5">
        <f>F194</f>
        <v>3224.15</v>
      </c>
      <c r="G432" s="8">
        <f t="shared" si="136"/>
        <v>-3224.15</v>
      </c>
      <c r="H432" s="1" t="str">
        <f t="shared" si="141"/>
        <v/>
      </c>
      <c r="I432" s="5">
        <f>I194</f>
        <v>4000</v>
      </c>
      <c r="J432" s="5">
        <f>J194</f>
        <v>4000</v>
      </c>
      <c r="K432" s="9">
        <f t="shared" si="137"/>
        <v>4000</v>
      </c>
      <c r="L432" s="1" t="str">
        <f t="shared" si="138"/>
        <v/>
      </c>
      <c r="M432" s="9">
        <f t="shared" si="139"/>
        <v>775.84999999999991</v>
      </c>
      <c r="N432" s="1">
        <f t="shared" si="140"/>
        <v>0.24063706713397326</v>
      </c>
      <c r="P432" s="5">
        <f>P194</f>
        <v>4000</v>
      </c>
    </row>
    <row r="433" spans="2:16" x14ac:dyDescent="0.45">
      <c r="B433">
        <f>B196</f>
        <v>7040</v>
      </c>
      <c r="C433" t="str">
        <f>C196</f>
        <v>Management Fees</v>
      </c>
      <c r="E433" s="5">
        <f>E198</f>
        <v>38483</v>
      </c>
      <c r="F433" s="5">
        <f>F198</f>
        <v>40426.480000000003</v>
      </c>
      <c r="G433" s="8">
        <f t="shared" si="136"/>
        <v>-1943.4800000000032</v>
      </c>
      <c r="H433" s="1">
        <f t="shared" si="141"/>
        <v>1.0505022997167581</v>
      </c>
      <c r="I433" s="5">
        <f>I198</f>
        <v>46440</v>
      </c>
      <c r="J433" s="5">
        <f>J198</f>
        <v>46440</v>
      </c>
      <c r="K433" s="9">
        <f t="shared" si="137"/>
        <v>7957</v>
      </c>
      <c r="L433" s="1">
        <f t="shared" si="138"/>
        <v>0.20676662422368319</v>
      </c>
      <c r="M433" s="9">
        <f t="shared" si="139"/>
        <v>6013.5199999999968</v>
      </c>
      <c r="N433" s="1">
        <f t="shared" si="140"/>
        <v>0.14875200611084607</v>
      </c>
      <c r="P433" s="5">
        <f>P198</f>
        <v>46440</v>
      </c>
    </row>
    <row r="434" spans="2:16" x14ac:dyDescent="0.45">
      <c r="B434">
        <f>B431</f>
        <v>7000</v>
      </c>
      <c r="C434" t="s">
        <v>314</v>
      </c>
      <c r="E434" s="5">
        <f>SUM(E432:E433)</f>
        <v>38483</v>
      </c>
      <c r="F434" s="5">
        <f>SUM(F432:F433)</f>
        <v>43650.630000000005</v>
      </c>
      <c r="G434" s="8">
        <f t="shared" si="136"/>
        <v>-5167.6300000000047</v>
      </c>
      <c r="H434" s="1">
        <f t="shared" si="141"/>
        <v>1.1342834498349923</v>
      </c>
      <c r="I434" s="5">
        <f>SUM(I432:I433)</f>
        <v>50440</v>
      </c>
      <c r="J434" s="5">
        <f>SUM(J432:J433)</f>
        <v>50440</v>
      </c>
      <c r="K434" s="9">
        <f t="shared" si="137"/>
        <v>11957</v>
      </c>
      <c r="L434" s="1">
        <f t="shared" si="138"/>
        <v>0.31070862458748016</v>
      </c>
      <c r="M434" s="9">
        <f t="shared" si="139"/>
        <v>6789.3699999999953</v>
      </c>
      <c r="N434" s="1">
        <f t="shared" si="140"/>
        <v>0.15553887767484673</v>
      </c>
      <c r="P434" s="5">
        <f>SUM(P432:P433)</f>
        <v>50440</v>
      </c>
    </row>
    <row r="435" spans="2:16" x14ac:dyDescent="0.45">
      <c r="G435"/>
      <c r="H435" s="1"/>
      <c r="I435"/>
      <c r="J435"/>
      <c r="K435"/>
      <c r="L435"/>
      <c r="M435"/>
      <c r="N435"/>
    </row>
    <row r="436" spans="2:16" x14ac:dyDescent="0.45">
      <c r="B436">
        <v>9000</v>
      </c>
      <c r="C436" t="s">
        <v>315</v>
      </c>
      <c r="G436"/>
      <c r="H436" s="1"/>
      <c r="I436"/>
      <c r="J436"/>
      <c r="K436"/>
      <c r="L436"/>
      <c r="M436"/>
      <c r="N436"/>
    </row>
    <row r="437" spans="2:16" x14ac:dyDescent="0.45">
      <c r="B437">
        <f>B203</f>
        <v>9015</v>
      </c>
      <c r="C437" t="str">
        <f>C203</f>
        <v>Property Taxes</v>
      </c>
      <c r="E437" s="5">
        <f>E207</f>
        <v>700</v>
      </c>
      <c r="F437" s="5">
        <f>F207</f>
        <v>6301.06</v>
      </c>
      <c r="G437" s="8">
        <f t="shared" si="136"/>
        <v>-5601.06</v>
      </c>
      <c r="H437" s="1">
        <f t="shared" si="141"/>
        <v>9.0015142857142862</v>
      </c>
      <c r="I437" s="5">
        <f>I207</f>
        <v>10200</v>
      </c>
      <c r="J437" s="5">
        <f>J207</f>
        <v>6800</v>
      </c>
      <c r="K437" s="9">
        <f t="shared" si="137"/>
        <v>6100</v>
      </c>
      <c r="L437" s="1">
        <f t="shared" si="138"/>
        <v>8.7142857142857135</v>
      </c>
      <c r="M437" s="9">
        <f t="shared" si="139"/>
        <v>498.9399999999996</v>
      </c>
      <c r="N437" s="1">
        <f t="shared" si="140"/>
        <v>7.9183502458316471E-2</v>
      </c>
      <c r="P437" s="5">
        <f>P207</f>
        <v>6800</v>
      </c>
    </row>
    <row r="438" spans="2:16" x14ac:dyDescent="0.45">
      <c r="B438">
        <f>B436</f>
        <v>9000</v>
      </c>
      <c r="C438" t="s">
        <v>316</v>
      </c>
      <c r="E438" s="5">
        <f>SUM(E437:E437)</f>
        <v>700</v>
      </c>
      <c r="F438" s="5">
        <f>SUM(F437:F437)</f>
        <v>6301.06</v>
      </c>
      <c r="G438" s="8">
        <f t="shared" si="136"/>
        <v>-5601.06</v>
      </c>
      <c r="H438" s="1">
        <f t="shared" si="141"/>
        <v>9.0015142857142862</v>
      </c>
      <c r="I438" s="5">
        <f>SUM(I437:I437)</f>
        <v>10200</v>
      </c>
      <c r="J438" s="5">
        <f>SUM(J437:J437)</f>
        <v>6800</v>
      </c>
      <c r="K438" s="9">
        <f t="shared" si="137"/>
        <v>6100</v>
      </c>
      <c r="L438" s="1">
        <f t="shared" si="138"/>
        <v>8.7142857142857135</v>
      </c>
      <c r="M438" s="9">
        <f t="shared" si="139"/>
        <v>498.9399999999996</v>
      </c>
      <c r="N438" s="1">
        <f t="shared" si="140"/>
        <v>7.9183502458316471E-2</v>
      </c>
      <c r="P438" s="5">
        <f>SUM(P437:P437)</f>
        <v>6800</v>
      </c>
    </row>
    <row r="439" spans="2:16" x14ac:dyDescent="0.45">
      <c r="G439"/>
      <c r="H439" s="1"/>
      <c r="I439"/>
      <c r="J439"/>
      <c r="K439"/>
      <c r="L439"/>
      <c r="M439"/>
      <c r="N439"/>
    </row>
    <row r="440" spans="2:16" x14ac:dyDescent="0.45">
      <c r="B440">
        <v>9100</v>
      </c>
      <c r="C440" t="s">
        <v>318</v>
      </c>
      <c r="G440"/>
      <c r="H440" s="1"/>
      <c r="I440"/>
      <c r="J440"/>
      <c r="K440"/>
      <c r="L440"/>
      <c r="M440"/>
      <c r="N440"/>
    </row>
    <row r="441" spans="2:16" x14ac:dyDescent="0.45">
      <c r="B441">
        <f>B268</f>
        <v>9105</v>
      </c>
      <c r="C441" t="s">
        <v>232</v>
      </c>
      <c r="E441" s="5">
        <f>E240</f>
        <v>0</v>
      </c>
      <c r="F441" s="5">
        <f>F240</f>
        <v>4891.01</v>
      </c>
      <c r="G441" s="8">
        <f t="shared" si="136"/>
        <v>-4891.01</v>
      </c>
      <c r="H441" s="1" t="str">
        <f t="shared" si="141"/>
        <v/>
      </c>
      <c r="I441" s="5">
        <f>I240</f>
        <v>0</v>
      </c>
      <c r="J441" s="5">
        <f>J240</f>
        <v>0</v>
      </c>
      <c r="K441" s="9">
        <f t="shared" si="137"/>
        <v>0</v>
      </c>
      <c r="L441" s="1" t="str">
        <f t="shared" si="138"/>
        <v/>
      </c>
      <c r="M441" s="9">
        <f t="shared" si="139"/>
        <v>-4891.01</v>
      </c>
      <c r="N441" s="1">
        <f t="shared" si="140"/>
        <v>-1</v>
      </c>
      <c r="P441" s="5">
        <f>P240</f>
        <v>0</v>
      </c>
    </row>
    <row r="442" spans="2:16" x14ac:dyDescent="0.45">
      <c r="C442" t="str">
        <f>C242</f>
        <v>Fixed Assets (Capital Purchases)</v>
      </c>
      <c r="E442">
        <f>E242</f>
        <v>93000</v>
      </c>
      <c r="H442" s="1">
        <f t="shared" si="141"/>
        <v>0</v>
      </c>
      <c r="I442">
        <f>I242</f>
        <v>0</v>
      </c>
      <c r="J442">
        <f>J242</f>
        <v>0</v>
      </c>
      <c r="P442">
        <f>P242</f>
        <v>0</v>
      </c>
    </row>
    <row r="443" spans="2:16" x14ac:dyDescent="0.45">
      <c r="C443" t="str">
        <f>C244</f>
        <v>Depreciation Report</v>
      </c>
      <c r="E443" s="15">
        <f>E244</f>
        <v>16968.36</v>
      </c>
      <c r="H443" s="1">
        <f t="shared" si="141"/>
        <v>0</v>
      </c>
      <c r="I443" s="15">
        <f>I244</f>
        <v>0</v>
      </c>
      <c r="J443" s="15">
        <f>J244</f>
        <v>0</v>
      </c>
      <c r="P443" s="15">
        <f>P244</f>
        <v>0</v>
      </c>
    </row>
    <row r="444" spans="2:16" x14ac:dyDescent="0.45">
      <c r="B444">
        <f>B440</f>
        <v>9100</v>
      </c>
      <c r="C444" t="s">
        <v>319</v>
      </c>
      <c r="E444" s="5">
        <f>SUM(E441:E443)</f>
        <v>109968.36</v>
      </c>
      <c r="F444" s="5">
        <f>SUM(F441:F441)</f>
        <v>4891.01</v>
      </c>
      <c r="G444" s="8">
        <f t="shared" si="136"/>
        <v>105077.35</v>
      </c>
      <c r="H444" s="1">
        <f t="shared" si="141"/>
        <v>4.4476520337304294E-2</v>
      </c>
      <c r="I444" s="5">
        <f>SUM(I441:I443)</f>
        <v>0</v>
      </c>
      <c r="J444" s="5">
        <f>SUM(J441:J443)</f>
        <v>0</v>
      </c>
      <c r="K444" s="9">
        <f t="shared" si="137"/>
        <v>-109968.36</v>
      </c>
      <c r="L444" s="1">
        <f t="shared" si="138"/>
        <v>-1</v>
      </c>
      <c r="M444" s="9">
        <f t="shared" si="139"/>
        <v>-4891.01</v>
      </c>
      <c r="N444" s="1">
        <f t="shared" si="140"/>
        <v>-1</v>
      </c>
      <c r="P444" s="5">
        <f>SUM(P441:P443)</f>
        <v>0</v>
      </c>
    </row>
    <row r="445" spans="2:16" x14ac:dyDescent="0.45">
      <c r="G445"/>
      <c r="H445" s="1"/>
      <c r="I445"/>
      <c r="J445"/>
      <c r="K445"/>
      <c r="L445"/>
      <c r="M445"/>
      <c r="N445"/>
    </row>
    <row r="446" spans="2:16" x14ac:dyDescent="0.45">
      <c r="C446" t="s">
        <v>317</v>
      </c>
      <c r="E446" s="5">
        <f>E375+E380+E384+E389+E399+E403+E408+E416+E429+E434+E438+E444</f>
        <v>1103952.3600000001</v>
      </c>
      <c r="F446" s="5">
        <f>F375+F380+F384+F389+F399+F403+F408+F416+F429+F434+F438+F444</f>
        <v>1091488.4099999999</v>
      </c>
      <c r="G446" s="8">
        <f t="shared" si="136"/>
        <v>12463.950000000186</v>
      </c>
      <c r="H446" s="1">
        <f t="shared" si="141"/>
        <v>0.98870970301653216</v>
      </c>
      <c r="I446" s="5">
        <f>I375+I380+I384+I389+I399+I403+I408+I416+I429+I434+I438+I444</f>
        <v>1311105</v>
      </c>
      <c r="J446" s="5">
        <f>J375+J380+J384+J389+J399+J403+J408+J416+J429+J434+J438+J444</f>
        <v>1309353</v>
      </c>
      <c r="K446" s="9">
        <f t="shared" si="137"/>
        <v>205400.6399999999</v>
      </c>
      <c r="L446" s="1">
        <f t="shared" si="138"/>
        <v>0.1860593332125309</v>
      </c>
      <c r="M446" s="9">
        <f t="shared" si="139"/>
        <v>217864.59000000008</v>
      </c>
      <c r="N446" s="1">
        <f t="shared" si="140"/>
        <v>0.19960320971250634</v>
      </c>
      <c r="P446" s="5">
        <f>P375+P380+P384+P389+P399+P403+P408+P416+P429+P434+P438+P444</f>
        <v>1122933.1040000001</v>
      </c>
    </row>
    <row r="447" spans="2:16" x14ac:dyDescent="0.45">
      <c r="G447"/>
      <c r="H447" s="1"/>
      <c r="I447"/>
      <c r="J447"/>
      <c r="K447"/>
      <c r="L447"/>
      <c r="M447"/>
      <c r="N447"/>
    </row>
    <row r="448" spans="2:16" x14ac:dyDescent="0.45">
      <c r="C448" t="s">
        <v>320</v>
      </c>
      <c r="G448"/>
      <c r="H448" s="1"/>
      <c r="I448"/>
      <c r="J448"/>
      <c r="K448"/>
      <c r="L448"/>
      <c r="M448"/>
      <c r="N448"/>
    </row>
    <row r="449" spans="2:16" x14ac:dyDescent="0.45">
      <c r="G449"/>
      <c r="H449" s="1"/>
      <c r="I449"/>
      <c r="J449"/>
      <c r="K449"/>
      <c r="L449"/>
      <c r="M449"/>
      <c r="N449"/>
    </row>
    <row r="450" spans="2:16" x14ac:dyDescent="0.45">
      <c r="B450">
        <v>9800</v>
      </c>
      <c r="C450" t="s">
        <v>321</v>
      </c>
      <c r="G450"/>
      <c r="H450" s="1"/>
      <c r="I450"/>
      <c r="J450"/>
      <c r="K450"/>
      <c r="L450"/>
      <c r="M450"/>
      <c r="N450"/>
    </row>
    <row r="451" spans="2:16" x14ac:dyDescent="0.45">
      <c r="B451">
        <v>9834</v>
      </c>
      <c r="C451" t="s">
        <v>322</v>
      </c>
      <c r="E451" s="5">
        <f>E269</f>
        <v>74549</v>
      </c>
      <c r="F451" s="5">
        <f>F269</f>
        <v>74549.05</v>
      </c>
      <c r="G451" s="8">
        <f t="shared" si="136"/>
        <v>-5.0000000002910383E-2</v>
      </c>
      <c r="H451" s="1">
        <f t="shared" si="141"/>
        <v>1.0000006706998081</v>
      </c>
      <c r="I451" s="5">
        <f>I269</f>
        <v>95831</v>
      </c>
      <c r="J451" s="5">
        <f>J269</f>
        <v>96442</v>
      </c>
      <c r="K451" s="9">
        <f t="shared" si="137"/>
        <v>21893</v>
      </c>
      <c r="L451" s="1">
        <f t="shared" si="138"/>
        <v>0.29367261800963124</v>
      </c>
      <c r="M451" s="9">
        <f t="shared" si="139"/>
        <v>21892.949999999997</v>
      </c>
      <c r="N451" s="1">
        <f t="shared" si="140"/>
        <v>0.29367175034423637</v>
      </c>
      <c r="P451" s="5">
        <f>P269</f>
        <v>85357.013980000018</v>
      </c>
    </row>
    <row r="452" spans="2:16" x14ac:dyDescent="0.45">
      <c r="C452" t="s">
        <v>333</v>
      </c>
      <c r="H452" s="1" t="str">
        <f t="shared" si="141"/>
        <v/>
      </c>
      <c r="P452" s="5">
        <f>P246</f>
        <v>96452.810000000056</v>
      </c>
    </row>
    <row r="453" spans="2:16" x14ac:dyDescent="0.45">
      <c r="B453">
        <f>B450</f>
        <v>9800</v>
      </c>
      <c r="C453" t="s">
        <v>323</v>
      </c>
      <c r="E453" s="5">
        <f>SUM(E451:E451)</f>
        <v>74549</v>
      </c>
      <c r="F453" s="5">
        <f>SUM(F451:F451)</f>
        <v>74549.05</v>
      </c>
      <c r="G453" s="8">
        <f t="shared" si="136"/>
        <v>-5.0000000002910383E-2</v>
      </c>
      <c r="H453" s="1">
        <f t="shared" si="141"/>
        <v>1.0000006706998081</v>
      </c>
      <c r="I453" s="5">
        <f>SUM(I451:I451)</f>
        <v>95831</v>
      </c>
      <c r="J453" s="5">
        <f>SUM(J451:J451)</f>
        <v>96442</v>
      </c>
      <c r="K453" s="9">
        <f t="shared" si="137"/>
        <v>21893</v>
      </c>
      <c r="L453" s="1">
        <f t="shared" si="138"/>
        <v>0.29367261800963124</v>
      </c>
      <c r="M453" s="9">
        <f t="shared" si="139"/>
        <v>21892.949999999997</v>
      </c>
      <c r="N453" s="1">
        <f t="shared" si="140"/>
        <v>0.29367175034423637</v>
      </c>
      <c r="P453" s="5">
        <f>SUM(P451:P452)</f>
        <v>181809.82398000007</v>
      </c>
    </row>
    <row r="454" spans="2:16" x14ac:dyDescent="0.45">
      <c r="G454"/>
      <c r="H454" s="1"/>
      <c r="I454"/>
      <c r="J454"/>
      <c r="K454"/>
      <c r="L454"/>
      <c r="M454"/>
      <c r="N454"/>
    </row>
    <row r="455" spans="2:16" x14ac:dyDescent="0.45">
      <c r="C455" t="s">
        <v>324</v>
      </c>
      <c r="E455" s="5">
        <f>E446+E453</f>
        <v>1178501.3600000001</v>
      </c>
      <c r="F455" s="5">
        <f>F446+F453</f>
        <v>1166037.46</v>
      </c>
      <c r="G455" s="8">
        <f t="shared" si="136"/>
        <v>12463.90000000014</v>
      </c>
      <c r="H455" s="1">
        <f t="shared" si="141"/>
        <v>0.98942394092782371</v>
      </c>
      <c r="I455" s="5">
        <f>I446+I453</f>
        <v>1406936</v>
      </c>
      <c r="J455" s="5">
        <f>J446+J453</f>
        <v>1405795</v>
      </c>
      <c r="K455" s="9">
        <f t="shared" si="137"/>
        <v>227293.6399999999</v>
      </c>
      <c r="L455" s="1">
        <f t="shared" si="138"/>
        <v>0.19286667602997071</v>
      </c>
      <c r="M455" s="9">
        <f t="shared" si="139"/>
        <v>239757.54000000004</v>
      </c>
      <c r="N455" s="1">
        <f t="shared" si="140"/>
        <v>0.20561735640980183</v>
      </c>
      <c r="P455" s="5">
        <f>P446+P453</f>
        <v>1304742.9279800002</v>
      </c>
    </row>
    <row r="456" spans="2:16" x14ac:dyDescent="0.45">
      <c r="G456"/>
      <c r="H456" s="1"/>
      <c r="I456"/>
      <c r="J456"/>
      <c r="K456"/>
      <c r="L456"/>
      <c r="M456"/>
      <c r="N456"/>
    </row>
    <row r="457" spans="2:16" x14ac:dyDescent="0.45">
      <c r="C457" t="s">
        <v>325</v>
      </c>
      <c r="E457" s="5">
        <f>E367-E455</f>
        <v>1009</v>
      </c>
      <c r="F457" s="5">
        <f>F367-F455</f>
        <v>-96452.810000000289</v>
      </c>
      <c r="G457" s="8">
        <f t="shared" si="136"/>
        <v>97461.810000000289</v>
      </c>
      <c r="H457" s="1">
        <f>IF(E457&lt;&gt;0,F457/E457,"")</f>
        <v>-95.592477700694047</v>
      </c>
      <c r="I457" s="5">
        <f>I367-I455</f>
        <v>2514</v>
      </c>
      <c r="J457" s="5">
        <f>J367-J455</f>
        <v>1953</v>
      </c>
      <c r="K457" s="9">
        <f t="shared" si="137"/>
        <v>944</v>
      </c>
      <c r="L457" s="1">
        <f t="shared" si="138"/>
        <v>0.93557978196233893</v>
      </c>
      <c r="M457" s="9">
        <f t="shared" si="139"/>
        <v>98405.810000000289</v>
      </c>
      <c r="N457" s="1">
        <f t="shared" si="140"/>
        <v>-1.0202482436748084</v>
      </c>
      <c r="P457" s="5">
        <f>P367-P455</f>
        <v>0</v>
      </c>
    </row>
  </sheetData>
  <pageMargins left="0.7" right="0.7" top="0.75" bottom="0.75" header="0.3" footer="0.3"/>
  <pageSetup paperSize="3" orientation="landscape" r:id="rId1"/>
  <rowBreaks count="6" manualBreakCount="6">
    <brk id="97" max="16383" man="1"/>
    <brk id="190" max="16383" man="1"/>
    <brk id="251" max="16383" man="1"/>
    <brk id="276" max="16383" man="1"/>
    <brk id="337" max="16383" man="1"/>
    <brk id="368"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79C9D-1999-49D2-8F2F-31515DF92B97}">
  <dimension ref="A1:E59"/>
  <sheetViews>
    <sheetView workbookViewId="0"/>
  </sheetViews>
  <sheetFormatPr defaultRowHeight="14.25" x14ac:dyDescent="0.45"/>
  <cols>
    <col min="1" max="1" width="15.19921875" customWidth="1"/>
    <col min="2" max="2" width="27.1328125" bestFit="1" customWidth="1"/>
    <col min="3" max="5" width="11.86328125" bestFit="1" customWidth="1"/>
  </cols>
  <sheetData>
    <row r="1" spans="1:5" x14ac:dyDescent="0.45">
      <c r="A1" t="s">
        <v>416</v>
      </c>
    </row>
    <row r="3" spans="1:5" x14ac:dyDescent="0.45">
      <c r="A3" t="s">
        <v>322</v>
      </c>
    </row>
    <row r="5" spans="1:5" x14ac:dyDescent="0.45">
      <c r="C5" s="19">
        <v>44804</v>
      </c>
      <c r="D5" s="19">
        <v>44439</v>
      </c>
      <c r="E5" s="19">
        <v>44074</v>
      </c>
    </row>
    <row r="6" spans="1:5" x14ac:dyDescent="0.45">
      <c r="A6" t="s">
        <v>367</v>
      </c>
      <c r="C6" s="21">
        <f>D45</f>
        <v>447161.05</v>
      </c>
      <c r="D6" s="21">
        <f>E45</f>
        <v>345245.05</v>
      </c>
      <c r="E6" s="21">
        <v>249308.96</v>
      </c>
    </row>
    <row r="7" spans="1:5" x14ac:dyDescent="0.45">
      <c r="C7" s="21"/>
      <c r="D7" s="21"/>
      <c r="E7" s="21"/>
    </row>
    <row r="8" spans="1:5" x14ac:dyDescent="0.45">
      <c r="A8" t="s">
        <v>347</v>
      </c>
      <c r="C8" s="21"/>
      <c r="D8" s="21"/>
      <c r="E8" s="21"/>
    </row>
    <row r="9" spans="1:5" x14ac:dyDescent="0.45">
      <c r="B9" t="s">
        <v>368</v>
      </c>
      <c r="C9" s="21">
        <v>96442</v>
      </c>
      <c r="D9" s="21">
        <v>74549.05</v>
      </c>
      <c r="E9" s="21">
        <v>71803</v>
      </c>
    </row>
    <row r="10" spans="1:5" x14ac:dyDescent="0.45">
      <c r="B10" t="s">
        <v>369</v>
      </c>
      <c r="C10" s="21">
        <v>27380</v>
      </c>
      <c r="D10" s="21">
        <v>26682.48</v>
      </c>
      <c r="E10" s="21">
        <v>26682.48</v>
      </c>
    </row>
    <row r="11" spans="1:5" x14ac:dyDescent="0.45">
      <c r="B11" t="s">
        <v>15</v>
      </c>
      <c r="C11" s="21">
        <v>500</v>
      </c>
      <c r="D11" s="21">
        <v>745</v>
      </c>
      <c r="E11" s="21">
        <v>2713.11</v>
      </c>
    </row>
    <row r="12" spans="1:5" x14ac:dyDescent="0.45">
      <c r="B12" t="s">
        <v>142</v>
      </c>
      <c r="C12" s="21">
        <f>123996-C9-C10</f>
        <v>174</v>
      </c>
      <c r="D12" s="21">
        <f>101171-D9-D10</f>
        <v>-60.530000000002474</v>
      </c>
      <c r="E12" s="21"/>
    </row>
    <row r="13" spans="1:5" x14ac:dyDescent="0.45">
      <c r="A13" t="s">
        <v>371</v>
      </c>
      <c r="C13" s="21">
        <f>SUM(C9:C12)</f>
        <v>124496</v>
      </c>
      <c r="D13" s="21">
        <f>SUM(D9:D12)</f>
        <v>101916</v>
      </c>
      <c r="E13" s="21">
        <f>SUM(E9:E12)</f>
        <v>101198.59</v>
      </c>
    </row>
    <row r="14" spans="1:5" x14ac:dyDescent="0.45">
      <c r="C14" s="21"/>
      <c r="D14" s="21"/>
      <c r="E14" s="21"/>
    </row>
    <row r="15" spans="1:5" x14ac:dyDescent="0.45">
      <c r="A15" t="s">
        <v>370</v>
      </c>
      <c r="C15" s="21"/>
      <c r="D15" s="21"/>
      <c r="E15" s="21"/>
    </row>
    <row r="16" spans="1:5" x14ac:dyDescent="0.45">
      <c r="B16" t="s">
        <v>23</v>
      </c>
      <c r="C16" s="21"/>
      <c r="D16" s="21"/>
      <c r="E16" s="21">
        <v>5262.5</v>
      </c>
    </row>
    <row r="17" spans="2:5" x14ac:dyDescent="0.45">
      <c r="B17" t="s">
        <v>24</v>
      </c>
      <c r="C17" s="21"/>
      <c r="D17" s="21">
        <v>0</v>
      </c>
      <c r="E17" s="21"/>
    </row>
    <row r="18" spans="2:5" x14ac:dyDescent="0.45">
      <c r="B18" t="s">
        <v>25</v>
      </c>
      <c r="C18" s="21"/>
      <c r="D18" s="21"/>
      <c r="E18" s="21"/>
    </row>
    <row r="19" spans="2:5" x14ac:dyDescent="0.45">
      <c r="B19" t="s">
        <v>373</v>
      </c>
      <c r="C19" s="21"/>
      <c r="D19" s="21"/>
      <c r="E19" s="21"/>
    </row>
    <row r="20" spans="2:5" x14ac:dyDescent="0.45">
      <c r="B20" t="s">
        <v>372</v>
      </c>
      <c r="C20" s="21">
        <v>77123</v>
      </c>
      <c r="D20" s="21"/>
      <c r="E20" s="21"/>
    </row>
    <row r="21" spans="2:5" x14ac:dyDescent="0.45">
      <c r="B21" t="s">
        <v>379</v>
      </c>
      <c r="C21" s="21">
        <v>82631</v>
      </c>
      <c r="D21" s="21"/>
      <c r="E21" s="21"/>
    </row>
    <row r="22" spans="2:5" x14ac:dyDescent="0.45">
      <c r="B22" t="s">
        <v>385</v>
      </c>
      <c r="C22" s="21">
        <f>MIN(C20:C21)</f>
        <v>77123</v>
      </c>
      <c r="D22" s="21"/>
      <c r="E22" s="21"/>
    </row>
    <row r="23" spans="2:5" x14ac:dyDescent="0.45">
      <c r="B23" t="s">
        <v>380</v>
      </c>
      <c r="C23" s="21">
        <f>AVERAGE(C20:C21)</f>
        <v>79877</v>
      </c>
      <c r="D23" s="21"/>
      <c r="E23" s="21"/>
    </row>
    <row r="24" spans="2:5" x14ac:dyDescent="0.45">
      <c r="B24" t="s">
        <v>386</v>
      </c>
      <c r="C24" s="21">
        <f>MAX(C20:C21)</f>
        <v>82631</v>
      </c>
      <c r="D24" s="21"/>
      <c r="E24" s="21"/>
    </row>
    <row r="25" spans="2:5" x14ac:dyDescent="0.45">
      <c r="C25" s="21"/>
      <c r="D25" s="21"/>
      <c r="E25" s="21"/>
    </row>
    <row r="26" spans="2:5" x14ac:dyDescent="0.45">
      <c r="B26" t="s">
        <v>374</v>
      </c>
      <c r="C26" s="21"/>
      <c r="D26" s="21"/>
      <c r="E26" s="21"/>
    </row>
    <row r="27" spans="2:5" x14ac:dyDescent="0.45">
      <c r="B27" t="s">
        <v>375</v>
      </c>
      <c r="C27" s="21">
        <v>66938</v>
      </c>
      <c r="D27" s="21"/>
      <c r="E27" s="21"/>
    </row>
    <row r="28" spans="2:5" x14ac:dyDescent="0.45">
      <c r="B28" t="s">
        <v>376</v>
      </c>
      <c r="C28" s="21">
        <v>32790</v>
      </c>
      <c r="D28" s="21"/>
      <c r="E28" s="21"/>
    </row>
    <row r="29" spans="2:5" x14ac:dyDescent="0.45">
      <c r="B29" t="s">
        <v>377</v>
      </c>
      <c r="C29" s="21">
        <v>53550</v>
      </c>
      <c r="D29" s="21"/>
      <c r="E29" s="21"/>
    </row>
    <row r="30" spans="2:5" x14ac:dyDescent="0.45">
      <c r="B30" t="s">
        <v>378</v>
      </c>
      <c r="C30" s="21">
        <v>76837</v>
      </c>
      <c r="D30" s="21"/>
      <c r="E30" s="21"/>
    </row>
    <row r="31" spans="2:5" x14ac:dyDescent="0.45">
      <c r="B31" t="s">
        <v>385</v>
      </c>
      <c r="C31" s="21">
        <f>MIN(C27:C30)</f>
        <v>32790</v>
      </c>
      <c r="D31" s="21"/>
      <c r="E31" s="21"/>
    </row>
    <row r="32" spans="2:5" x14ac:dyDescent="0.45">
      <c r="B32" t="s">
        <v>380</v>
      </c>
      <c r="C32" s="21">
        <f>AVERAGE(C27:C30)</f>
        <v>57528.75</v>
      </c>
      <c r="D32" s="21"/>
      <c r="E32" s="21"/>
    </row>
    <row r="33" spans="1:5" x14ac:dyDescent="0.45">
      <c r="B33" t="s">
        <v>386</v>
      </c>
      <c r="C33" s="21">
        <f>MAX(C27:C30)</f>
        <v>76837</v>
      </c>
      <c r="D33" s="21"/>
      <c r="E33" s="21"/>
    </row>
    <row r="34" spans="1:5" x14ac:dyDescent="0.45">
      <c r="C34" s="21"/>
      <c r="D34" s="21"/>
      <c r="E34" s="21"/>
    </row>
    <row r="35" spans="1:5" x14ac:dyDescent="0.45">
      <c r="B35" t="s">
        <v>381</v>
      </c>
      <c r="C35" s="21">
        <v>15000</v>
      </c>
      <c r="D35" s="21"/>
      <c r="E35" s="21"/>
    </row>
    <row r="36" spans="1:5" x14ac:dyDescent="0.45">
      <c r="B36" t="s">
        <v>382</v>
      </c>
      <c r="C36" s="21">
        <v>2000</v>
      </c>
      <c r="D36" s="21"/>
      <c r="E36" s="21"/>
    </row>
    <row r="37" spans="1:5" x14ac:dyDescent="0.45">
      <c r="C37" s="21"/>
      <c r="D37" s="21"/>
      <c r="E37" s="21"/>
    </row>
    <row r="38" spans="1:5" x14ac:dyDescent="0.45">
      <c r="C38" s="21"/>
      <c r="D38" s="21"/>
      <c r="E38" s="21"/>
    </row>
    <row r="39" spans="1:5" x14ac:dyDescent="0.45">
      <c r="C39" s="21"/>
      <c r="D39" s="21"/>
      <c r="E39" s="21"/>
    </row>
    <row r="40" spans="1:5" x14ac:dyDescent="0.45">
      <c r="A40" t="s">
        <v>391</v>
      </c>
      <c r="C40" s="21"/>
      <c r="D40" s="21"/>
      <c r="E40" s="21">
        <f>SUM(E16:E16)</f>
        <v>5262.5</v>
      </c>
    </row>
    <row r="41" spans="1:5" x14ac:dyDescent="0.45">
      <c r="B41" t="s">
        <v>385</v>
      </c>
      <c r="C41" s="21">
        <f>C22+C31+C35+C36</f>
        <v>126913</v>
      </c>
      <c r="D41" s="21"/>
      <c r="E41" s="21"/>
    </row>
    <row r="42" spans="1:5" x14ac:dyDescent="0.45">
      <c r="B42" t="s">
        <v>380</v>
      </c>
      <c r="C42" s="21">
        <f>C23+C32+C35+C36</f>
        <v>154405.75</v>
      </c>
      <c r="D42" s="21"/>
      <c r="E42" s="21"/>
    </row>
    <row r="43" spans="1:5" x14ac:dyDescent="0.45">
      <c r="B43" t="s">
        <v>386</v>
      </c>
      <c r="C43" s="21">
        <f>C24+C33+C35+C36</f>
        <v>176468</v>
      </c>
      <c r="D43" s="21"/>
      <c r="E43" s="21"/>
    </row>
    <row r="44" spans="1:5" x14ac:dyDescent="0.45">
      <c r="C44" s="21"/>
      <c r="D44" s="21"/>
      <c r="E44" s="21"/>
    </row>
    <row r="45" spans="1:5" x14ac:dyDescent="0.45">
      <c r="A45" t="s">
        <v>390</v>
      </c>
      <c r="C45" s="21">
        <f>C6+C13</f>
        <v>571657.05000000005</v>
      </c>
      <c r="D45" s="21">
        <f>D6+D13</f>
        <v>447161.05</v>
      </c>
      <c r="E45" s="21">
        <f>E6+E13-E40</f>
        <v>345245.05</v>
      </c>
    </row>
    <row r="46" spans="1:5" x14ac:dyDescent="0.45">
      <c r="A46" t="s">
        <v>383</v>
      </c>
      <c r="C46" s="21">
        <v>385518</v>
      </c>
      <c r="D46" s="21"/>
      <c r="E46" s="21"/>
    </row>
    <row r="47" spans="1:5" x14ac:dyDescent="0.45">
      <c r="A47" t="s">
        <v>384</v>
      </c>
      <c r="C47" s="21">
        <f>C45-C46</f>
        <v>186139.05000000005</v>
      </c>
      <c r="D47" s="21"/>
      <c r="E47" s="21"/>
    </row>
    <row r="48" spans="1:5" x14ac:dyDescent="0.45">
      <c r="C48" s="21"/>
      <c r="D48" s="21"/>
      <c r="E48" s="21"/>
    </row>
    <row r="49" spans="1:5" x14ac:dyDescent="0.45">
      <c r="A49" t="s">
        <v>388</v>
      </c>
      <c r="C49" s="21">
        <f>C6+C13-C41</f>
        <v>444744.05000000005</v>
      </c>
      <c r="D49" s="21"/>
      <c r="E49" s="21"/>
    </row>
    <row r="50" spans="1:5" x14ac:dyDescent="0.45">
      <c r="A50" t="s">
        <v>383</v>
      </c>
      <c r="C50" s="21">
        <v>385518</v>
      </c>
      <c r="D50" s="21"/>
      <c r="E50" s="21"/>
    </row>
    <row r="51" spans="1:5" x14ac:dyDescent="0.45">
      <c r="A51" t="s">
        <v>384</v>
      </c>
      <c r="C51" s="21">
        <f>C49-C50</f>
        <v>59226.050000000047</v>
      </c>
      <c r="D51" s="21"/>
      <c r="E51" s="21"/>
    </row>
    <row r="53" spans="1:5" x14ac:dyDescent="0.45">
      <c r="A53" t="s">
        <v>387</v>
      </c>
      <c r="C53" s="21">
        <f>C6+C13-C42</f>
        <v>417251.30000000005</v>
      </c>
    </row>
    <row r="54" spans="1:5" x14ac:dyDescent="0.45">
      <c r="A54" t="s">
        <v>383</v>
      </c>
      <c r="C54" s="21">
        <v>385518</v>
      </c>
    </row>
    <row r="55" spans="1:5" x14ac:dyDescent="0.45">
      <c r="A55" t="s">
        <v>384</v>
      </c>
      <c r="C55" s="21">
        <f>C53-C54</f>
        <v>31733.300000000047</v>
      </c>
    </row>
    <row r="57" spans="1:5" x14ac:dyDescent="0.45">
      <c r="A57" t="s">
        <v>389</v>
      </c>
      <c r="C57" s="21">
        <f>C6+C13-C43</f>
        <v>395189.05000000005</v>
      </c>
    </row>
    <row r="58" spans="1:5" x14ac:dyDescent="0.45">
      <c r="A58" t="s">
        <v>383</v>
      </c>
      <c r="C58" s="21">
        <v>385518</v>
      </c>
    </row>
    <row r="59" spans="1:5" x14ac:dyDescent="0.45">
      <c r="A59" t="s">
        <v>384</v>
      </c>
      <c r="C59" s="21">
        <f>C57-C58</f>
        <v>9671.0500000000466</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6F7F7-335B-45E4-B2BB-4E2F5BBD169F}">
  <dimension ref="A1:E53"/>
  <sheetViews>
    <sheetView workbookViewId="0"/>
  </sheetViews>
  <sheetFormatPr defaultRowHeight="14.25" x14ac:dyDescent="0.45"/>
  <cols>
    <col min="1" max="1" width="21.33203125" customWidth="1"/>
    <col min="2" max="2" width="27.1328125" bestFit="1" customWidth="1"/>
  </cols>
  <sheetData>
    <row r="1" spans="1:5" ht="23.25" x14ac:dyDescent="0.7">
      <c r="A1" s="22" t="s">
        <v>415</v>
      </c>
    </row>
    <row r="3" spans="1:5" x14ac:dyDescent="0.45">
      <c r="A3" s="20" t="s">
        <v>336</v>
      </c>
    </row>
    <row r="4" spans="1:5" x14ac:dyDescent="0.45">
      <c r="A4" s="19">
        <v>44439</v>
      </c>
      <c r="B4" s="19"/>
    </row>
    <row r="5" spans="1:5" x14ac:dyDescent="0.45">
      <c r="C5" t="s">
        <v>25</v>
      </c>
      <c r="D5" t="s">
        <v>24</v>
      </c>
      <c r="E5" t="s">
        <v>23</v>
      </c>
    </row>
    <row r="6" spans="1:5" x14ac:dyDescent="0.45">
      <c r="C6" s="19">
        <v>44804</v>
      </c>
      <c r="D6" s="19">
        <v>44439</v>
      </c>
      <c r="E6" s="19">
        <v>44074</v>
      </c>
    </row>
    <row r="7" spans="1:5" x14ac:dyDescent="0.45">
      <c r="C7" s="19"/>
      <c r="D7" s="19"/>
      <c r="E7" s="19"/>
    </row>
    <row r="8" spans="1:5" x14ac:dyDescent="0.45">
      <c r="A8" s="20" t="s">
        <v>337</v>
      </c>
    </row>
    <row r="9" spans="1:5" x14ac:dyDescent="0.45">
      <c r="A9" s="20"/>
    </row>
    <row r="10" spans="1:5" x14ac:dyDescent="0.45">
      <c r="A10" t="s">
        <v>338</v>
      </c>
    </row>
    <row r="11" spans="1:5" x14ac:dyDescent="0.45">
      <c r="B11" t="s">
        <v>364</v>
      </c>
    </row>
    <row r="12" spans="1:5" x14ac:dyDescent="0.45">
      <c r="B12" t="s">
        <v>357</v>
      </c>
      <c r="E12">
        <v>154443.79999999999</v>
      </c>
    </row>
    <row r="13" spans="1:5" x14ac:dyDescent="0.45">
      <c r="B13" t="s">
        <v>358</v>
      </c>
      <c r="E13">
        <v>345245.05</v>
      </c>
    </row>
    <row r="14" spans="1:5" x14ac:dyDescent="0.45">
      <c r="B14" t="s">
        <v>359</v>
      </c>
      <c r="E14">
        <v>72909.289999999994</v>
      </c>
    </row>
    <row r="15" spans="1:5" x14ac:dyDescent="0.45">
      <c r="B15" t="s">
        <v>360</v>
      </c>
      <c r="E15">
        <v>1036.3399999999999</v>
      </c>
    </row>
    <row r="16" spans="1:5" x14ac:dyDescent="0.45">
      <c r="B16" t="s">
        <v>365</v>
      </c>
      <c r="E16">
        <f>SUM(E12:E15)</f>
        <v>573634.48</v>
      </c>
    </row>
    <row r="18" spans="1:5" x14ac:dyDescent="0.45">
      <c r="B18" t="s">
        <v>142</v>
      </c>
    </row>
    <row r="19" spans="1:5" x14ac:dyDescent="0.45">
      <c r="B19" t="s">
        <v>361</v>
      </c>
      <c r="E19">
        <v>442.75</v>
      </c>
    </row>
    <row r="20" spans="1:5" x14ac:dyDescent="0.45">
      <c r="B20" t="s">
        <v>339</v>
      </c>
      <c r="E20">
        <v>3012</v>
      </c>
    </row>
    <row r="21" spans="1:5" x14ac:dyDescent="0.45">
      <c r="B21" t="s">
        <v>362</v>
      </c>
      <c r="E21">
        <v>10128.98</v>
      </c>
    </row>
    <row r="23" spans="1:5" x14ac:dyDescent="0.45">
      <c r="B23" t="s">
        <v>340</v>
      </c>
    </row>
    <row r="24" spans="1:5" x14ac:dyDescent="0.45">
      <c r="B24" t="s">
        <v>62</v>
      </c>
      <c r="E24">
        <v>13726.83</v>
      </c>
    </row>
    <row r="25" spans="1:5" x14ac:dyDescent="0.45">
      <c r="B25" t="s">
        <v>363</v>
      </c>
      <c r="E25">
        <f>SUM(E24:E24)</f>
        <v>13726.83</v>
      </c>
    </row>
    <row r="27" spans="1:5" x14ac:dyDescent="0.45">
      <c r="B27" t="s">
        <v>366</v>
      </c>
      <c r="E27">
        <f>E19+E20+E21+E25</f>
        <v>27310.559999999998</v>
      </c>
    </row>
    <row r="29" spans="1:5" x14ac:dyDescent="0.45">
      <c r="A29" t="s">
        <v>348</v>
      </c>
      <c r="E29">
        <f>E16+E27</f>
        <v>600945.04</v>
      </c>
    </row>
    <row r="31" spans="1:5" x14ac:dyDescent="0.45">
      <c r="A31" s="20" t="s">
        <v>341</v>
      </c>
    </row>
    <row r="33" spans="1:5" x14ac:dyDescent="0.45">
      <c r="A33" s="20" t="s">
        <v>351</v>
      </c>
    </row>
    <row r="35" spans="1:5" x14ac:dyDescent="0.45">
      <c r="A35" s="20" t="s">
        <v>342</v>
      </c>
    </row>
    <row r="36" spans="1:5" x14ac:dyDescent="0.45">
      <c r="A36" s="20"/>
    </row>
    <row r="37" spans="1:5" x14ac:dyDescent="0.45">
      <c r="A37" t="s">
        <v>338</v>
      </c>
    </row>
    <row r="38" spans="1:5" x14ac:dyDescent="0.45">
      <c r="B38" t="s">
        <v>343</v>
      </c>
      <c r="E38">
        <f>23940.13+2231.56+22812.59</f>
        <v>48984.28</v>
      </c>
    </row>
    <row r="39" spans="1:5" x14ac:dyDescent="0.45">
      <c r="B39" t="s">
        <v>344</v>
      </c>
      <c r="E39">
        <v>17.3</v>
      </c>
    </row>
    <row r="40" spans="1:5" x14ac:dyDescent="0.45">
      <c r="B40" t="s">
        <v>345</v>
      </c>
      <c r="E40">
        <v>13320.73</v>
      </c>
    </row>
    <row r="41" spans="1:5" x14ac:dyDescent="0.45">
      <c r="B41" t="s">
        <v>346</v>
      </c>
      <c r="E41">
        <v>0</v>
      </c>
    </row>
    <row r="42" spans="1:5" x14ac:dyDescent="0.45">
      <c r="B42" t="s">
        <v>347</v>
      </c>
      <c r="E42">
        <v>900</v>
      </c>
    </row>
    <row r="43" spans="1:5" x14ac:dyDescent="0.45">
      <c r="A43" t="s">
        <v>348</v>
      </c>
      <c r="E43">
        <f>SUM(E38:E42)</f>
        <v>63222.31</v>
      </c>
    </row>
    <row r="45" spans="1:5" x14ac:dyDescent="0.45">
      <c r="A45" s="20" t="s">
        <v>349</v>
      </c>
    </row>
    <row r="47" spans="1:5" x14ac:dyDescent="0.45">
      <c r="A47" t="s">
        <v>356</v>
      </c>
    </row>
    <row r="48" spans="1:5" x14ac:dyDescent="0.45">
      <c r="A48" t="s">
        <v>353</v>
      </c>
    </row>
    <row r="49" spans="1:1" x14ac:dyDescent="0.45">
      <c r="A49" t="s">
        <v>354</v>
      </c>
    </row>
    <row r="50" spans="1:1" x14ac:dyDescent="0.45">
      <c r="A50" t="s">
        <v>355</v>
      </c>
    </row>
    <row r="51" spans="1:1" x14ac:dyDescent="0.45">
      <c r="A51" t="s">
        <v>350</v>
      </c>
    </row>
    <row r="53" spans="1:1" x14ac:dyDescent="0.45">
      <c r="A53" s="20" t="s">
        <v>352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839C5-7869-4520-91AB-C01384278836}">
  <dimension ref="A1:K21"/>
  <sheetViews>
    <sheetView workbookViewId="0"/>
  </sheetViews>
  <sheetFormatPr defaultRowHeight="14.25" x14ac:dyDescent="0.45"/>
  <cols>
    <col min="1" max="1" width="16.86328125" customWidth="1"/>
    <col min="5" max="5" width="11.46484375" customWidth="1"/>
  </cols>
  <sheetData>
    <row r="1" spans="1:5" ht="23.25" x14ac:dyDescent="0.7">
      <c r="A1" s="22" t="s">
        <v>417</v>
      </c>
    </row>
    <row r="3" spans="1:5" x14ac:dyDescent="0.45">
      <c r="A3" t="s">
        <v>392</v>
      </c>
    </row>
    <row r="5" spans="1:5" x14ac:dyDescent="0.45">
      <c r="C5" s="19">
        <v>45169</v>
      </c>
      <c r="D5" s="19">
        <v>44804</v>
      </c>
      <c r="E5" s="19">
        <v>44439</v>
      </c>
    </row>
    <row r="6" spans="1:5" x14ac:dyDescent="0.45">
      <c r="A6" t="s">
        <v>367</v>
      </c>
      <c r="D6">
        <f>E17</f>
        <v>95279.57</v>
      </c>
      <c r="E6">
        <v>0</v>
      </c>
    </row>
    <row r="8" spans="1:5" x14ac:dyDescent="0.45">
      <c r="A8" t="s">
        <v>393</v>
      </c>
      <c r="C8">
        <v>0</v>
      </c>
      <c r="D8">
        <v>0</v>
      </c>
      <c r="E8">
        <f>96432+1152.43</f>
        <v>97584.43</v>
      </c>
    </row>
    <row r="10" spans="1:5" x14ac:dyDescent="0.45">
      <c r="A10" t="s">
        <v>394</v>
      </c>
      <c r="E10">
        <v>96432</v>
      </c>
    </row>
    <row r="12" spans="1:5" x14ac:dyDescent="0.45">
      <c r="A12" t="s">
        <v>395</v>
      </c>
    </row>
    <row r="13" spans="1:5" x14ac:dyDescent="0.45">
      <c r="A13" t="s">
        <v>24</v>
      </c>
      <c r="E13">
        <v>1152.43</v>
      </c>
    </row>
    <row r="14" spans="1:5" x14ac:dyDescent="0.45">
      <c r="A14" t="s">
        <v>25</v>
      </c>
      <c r="D14">
        <v>3297</v>
      </c>
    </row>
    <row r="15" spans="1:5" x14ac:dyDescent="0.45">
      <c r="A15" t="s">
        <v>26</v>
      </c>
      <c r="C15">
        <v>3297</v>
      </c>
    </row>
    <row r="17" spans="1:11" x14ac:dyDescent="0.45">
      <c r="A17" t="s">
        <v>396</v>
      </c>
      <c r="E17">
        <f>E10-E13</f>
        <v>95279.57</v>
      </c>
    </row>
    <row r="19" spans="1:11" x14ac:dyDescent="0.45">
      <c r="B19" s="24" t="s">
        <v>403</v>
      </c>
      <c r="C19" s="24"/>
      <c r="D19" s="24"/>
      <c r="E19" t="s">
        <v>404</v>
      </c>
    </row>
    <row r="20" spans="1:11" x14ac:dyDescent="0.45">
      <c r="A20" t="s">
        <v>397</v>
      </c>
      <c r="B20" t="s">
        <v>398</v>
      </c>
      <c r="C20" t="s">
        <v>399</v>
      </c>
      <c r="D20" t="s">
        <v>400</v>
      </c>
      <c r="E20" t="s">
        <v>401</v>
      </c>
      <c r="F20" t="s">
        <v>405</v>
      </c>
      <c r="G20" t="s">
        <v>406</v>
      </c>
      <c r="H20" t="s">
        <v>407</v>
      </c>
      <c r="I20" t="s">
        <v>408</v>
      </c>
      <c r="J20" t="s">
        <v>409</v>
      </c>
      <c r="K20" t="s">
        <v>410</v>
      </c>
    </row>
    <row r="21" spans="1:11" x14ac:dyDescent="0.45">
      <c r="A21" t="s">
        <v>402</v>
      </c>
      <c r="B21">
        <v>96432</v>
      </c>
      <c r="C21">
        <v>25</v>
      </c>
      <c r="D21">
        <f>B21/C21</f>
        <v>3857.28</v>
      </c>
      <c r="E21">
        <f>F21+H21+J21</f>
        <v>7746.43</v>
      </c>
      <c r="F21">
        <v>1152.43</v>
      </c>
      <c r="H21">
        <v>3297</v>
      </c>
      <c r="J21">
        <v>3297</v>
      </c>
    </row>
  </sheetData>
  <mergeCells count="1">
    <mergeCell ref="B19:D1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FA756-4ACD-4A2C-BACE-2C0793072582}">
  <dimension ref="A1:J11"/>
  <sheetViews>
    <sheetView workbookViewId="0">
      <selection activeCell="L3" sqref="L3"/>
    </sheetView>
  </sheetViews>
  <sheetFormatPr defaultRowHeight="14.25" x14ac:dyDescent="0.45"/>
  <cols>
    <col min="1" max="1" width="15.86328125" bestFit="1" customWidth="1"/>
    <col min="2" max="4" width="6.53125" bestFit="1" customWidth="1"/>
    <col min="5" max="5" width="6.73046875" bestFit="1" customWidth="1"/>
    <col min="6" max="7" width="7.73046875" bestFit="1" customWidth="1"/>
    <col min="8" max="9" width="6.53125" bestFit="1" customWidth="1"/>
  </cols>
  <sheetData>
    <row r="1" spans="1:10" ht="23.25" x14ac:dyDescent="0.7">
      <c r="A1" s="22" t="s">
        <v>418</v>
      </c>
    </row>
    <row r="3" spans="1:10" x14ac:dyDescent="0.45">
      <c r="A3" t="s">
        <v>17</v>
      </c>
      <c r="B3" t="s">
        <v>20</v>
      </c>
      <c r="C3" t="s">
        <v>21</v>
      </c>
      <c r="D3" t="s">
        <v>22</v>
      </c>
      <c r="E3" t="s">
        <v>23</v>
      </c>
      <c r="F3" t="s">
        <v>24</v>
      </c>
      <c r="G3" t="s">
        <v>25</v>
      </c>
      <c r="H3" t="s">
        <v>26</v>
      </c>
      <c r="I3" t="s">
        <v>27</v>
      </c>
      <c r="J3" t="s">
        <v>29</v>
      </c>
    </row>
    <row r="4" spans="1:10" x14ac:dyDescent="0.45">
      <c r="A4" t="s">
        <v>18</v>
      </c>
      <c r="J4">
        <v>255</v>
      </c>
    </row>
    <row r="5" spans="1:10" x14ac:dyDescent="0.45">
      <c r="A5" t="s">
        <v>19</v>
      </c>
      <c r="J5">
        <v>30</v>
      </c>
    </row>
    <row r="6" spans="1:10" x14ac:dyDescent="0.45">
      <c r="A6" t="s">
        <v>28</v>
      </c>
      <c r="C6">
        <f>C4+(1.5*C5)</f>
        <v>0</v>
      </c>
      <c r="D6">
        <f t="shared" ref="D6:J6" si="0">D4+(1.5*D5)</f>
        <v>0</v>
      </c>
      <c r="E6">
        <f t="shared" si="0"/>
        <v>0</v>
      </c>
      <c r="F6">
        <f t="shared" si="0"/>
        <v>0</v>
      </c>
      <c r="G6">
        <f t="shared" si="0"/>
        <v>0</v>
      </c>
      <c r="H6">
        <f t="shared" si="0"/>
        <v>0</v>
      </c>
      <c r="I6">
        <f t="shared" si="0"/>
        <v>0</v>
      </c>
      <c r="J6">
        <f t="shared" si="0"/>
        <v>300</v>
      </c>
    </row>
    <row r="8" spans="1:10" x14ac:dyDescent="0.45">
      <c r="A8" t="s">
        <v>30</v>
      </c>
    </row>
    <row r="9" spans="1:10" x14ac:dyDescent="0.45">
      <c r="A9" t="s">
        <v>31</v>
      </c>
      <c r="E9">
        <v>958247</v>
      </c>
      <c r="F9">
        <v>1016202</v>
      </c>
      <c r="G9">
        <v>1351910</v>
      </c>
    </row>
    <row r="10" spans="1:10" x14ac:dyDescent="0.45">
      <c r="A10" t="s">
        <v>32</v>
      </c>
      <c r="E10">
        <v>346</v>
      </c>
      <c r="F10">
        <v>346</v>
      </c>
    </row>
    <row r="11" spans="1:10" x14ac:dyDescent="0.45">
      <c r="A11" t="s">
        <v>33</v>
      </c>
      <c r="E11">
        <f>E9/E10</f>
        <v>2769.5</v>
      </c>
      <c r="F11">
        <f>F9/F10</f>
        <v>2937</v>
      </c>
      <c r="G11" t="e">
        <f t="shared" ref="G11:J11" si="1">G9/G10</f>
        <v>#DIV/0!</v>
      </c>
      <c r="H11" t="e">
        <f t="shared" si="1"/>
        <v>#DIV/0!</v>
      </c>
      <c r="I11" t="e">
        <f t="shared" si="1"/>
        <v>#DIV/0!</v>
      </c>
      <c r="J11" t="e">
        <f t="shared" si="1"/>
        <v>#DIV/0!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Budget</vt:lpstr>
      <vt:lpstr>CRF</vt:lpstr>
      <vt:lpstr>SFP</vt:lpstr>
      <vt:lpstr>Fixed Assets</vt:lpstr>
      <vt:lpstr>Unit Completion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Garry Lockyer</dc:creator>
  <cp:lastModifiedBy>Garry Lockyer</cp:lastModifiedBy>
  <cp:lastPrinted>2021-10-22T18:31:29Z</cp:lastPrinted>
  <dcterms:created xsi:type="dcterms:W3CDTF">2021-10-08T16:37:34Z</dcterms:created>
  <dcterms:modified xsi:type="dcterms:W3CDTF">2021-10-22T18:33:14Z</dcterms:modified>
</cp:coreProperties>
</file>